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emf" ContentType="image/x-emf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embeddings/oleObject1.bin" ContentType="application/vnd.openxmlformats-officedocument.oleObject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comments1.xml" ContentType="application/vnd.openxmlformats-officedocument.spreadsheetml.comments+xml"/>
  <Override PartName="/xl/tables/table6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64011"/>
  <mc:AlternateContent xmlns:mc="http://schemas.openxmlformats.org/markup-compatibility/2006">
    <mc:Choice Requires="x15">
      <x15ac:absPath xmlns:x15ac="http://schemas.microsoft.com/office/spreadsheetml/2010/11/ac" url="D:\VI\"/>
    </mc:Choice>
  </mc:AlternateContent>
  <bookViews>
    <workbookView xWindow="-120" yWindow="-120" windowWidth="19440" windowHeight="14220" activeTab="3"/>
  </bookViews>
  <sheets>
    <sheet name="Lizenz" sheetId="4" r:id="rId1"/>
    <sheet name="Autoren" sheetId="9" r:id="rId2"/>
    <sheet name="Bedienung" sheetId="10" r:id="rId3"/>
    <sheet name="Ausschusskalkulator" sheetId="1" r:id="rId4"/>
    <sheet name="Versionen" sheetId="12" r:id="rId5"/>
    <sheet name="Tabelle1" sheetId="6" state="hidden" r:id="rId6"/>
    <sheet name="Tabelle3" sheetId="8" state="hidden" r:id="rId7"/>
  </sheets>
  <definedNames>
    <definedName name="Pattaufloesung">Ausschusskalkulator!$C$3</definedName>
    <definedName name="Sitze_Ausschuss">Ausschusskalkulator!$C$2</definedName>
    <definedName name="Sitze_Hauptorgan">Ausschusskalkulator!$C$1</definedName>
    <definedName name="SLS_Los">Ausschusskalkulator!$CC$7:$CC$21</definedName>
    <definedName name="SLS_Patt">Ausschusskalkulator!$CB$7:$CB$21</definedName>
    <definedName name="SLS_RelStimmen">Ausschusskalkulator!$CD$7:$CD$21</definedName>
    <definedName name="SLS_Sitze">Ausschusskalkulator!$U$7:$U$21</definedName>
    <definedName name="SLS_SitzPatt">Ausschusskalkulator!$BI$7:$CA$21</definedName>
    <definedName name="SLS_Stimmen">Ausschusskalkulator!$CE$7:$CE$21</definedName>
  </definedNames>
  <calcPr calcId="162913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F18" i="1" l="1"/>
  <c r="F19" i="1"/>
  <c r="EU18" i="1"/>
  <c r="EU19" i="1"/>
  <c r="W18" i="1"/>
  <c r="X18" i="1"/>
  <c r="Y18" i="1"/>
  <c r="Z18" i="1"/>
  <c r="AA18" i="1"/>
  <c r="AB18" i="1"/>
  <c r="AC18" i="1"/>
  <c r="AD18" i="1"/>
  <c r="AE18" i="1"/>
  <c r="AF18" i="1"/>
  <c r="AG18" i="1"/>
  <c r="AH18" i="1"/>
  <c r="AI18" i="1"/>
  <c r="AJ18" i="1"/>
  <c r="AK18" i="1"/>
  <c r="AL18" i="1"/>
  <c r="AM18" i="1"/>
  <c r="AN18" i="1"/>
  <c r="AO18" i="1"/>
  <c r="W19" i="1"/>
  <c r="X19" i="1"/>
  <c r="Y19" i="1"/>
  <c r="Z19" i="1"/>
  <c r="AA19" i="1"/>
  <c r="AB19" i="1"/>
  <c r="AC19" i="1"/>
  <c r="AD19" i="1"/>
  <c r="AE19" i="1"/>
  <c r="AF19" i="1"/>
  <c r="AG19" i="1"/>
  <c r="AH19" i="1"/>
  <c r="AI19" i="1"/>
  <c r="AJ19" i="1"/>
  <c r="AK19" i="1"/>
  <c r="AL19" i="1"/>
  <c r="AM19" i="1"/>
  <c r="AN19" i="1"/>
  <c r="AO19" i="1"/>
  <c r="CJ18" i="1"/>
  <c r="CK18" i="1"/>
  <c r="CL18" i="1"/>
  <c r="CM18" i="1"/>
  <c r="CN18" i="1"/>
  <c r="CO18" i="1"/>
  <c r="CP18" i="1"/>
  <c r="CQ18" i="1"/>
  <c r="CR18" i="1"/>
  <c r="CS18" i="1"/>
  <c r="CT18" i="1"/>
  <c r="CU18" i="1"/>
  <c r="CV18" i="1"/>
  <c r="CW18" i="1"/>
  <c r="CX18" i="1"/>
  <c r="CY18" i="1"/>
  <c r="CZ18" i="1"/>
  <c r="DA18" i="1"/>
  <c r="DB18" i="1"/>
  <c r="CJ19" i="1"/>
  <c r="CK19" i="1"/>
  <c r="CL19" i="1"/>
  <c r="CM19" i="1"/>
  <c r="CN19" i="1"/>
  <c r="CO19" i="1"/>
  <c r="CP19" i="1"/>
  <c r="CQ19" i="1"/>
  <c r="CR19" i="1"/>
  <c r="CS19" i="1"/>
  <c r="CT19" i="1"/>
  <c r="CU19" i="1"/>
  <c r="CV19" i="1"/>
  <c r="CW19" i="1"/>
  <c r="CX19" i="1"/>
  <c r="CY19" i="1"/>
  <c r="CZ19" i="1"/>
  <c r="DA19" i="1"/>
  <c r="DB19" i="1"/>
  <c r="B3" i="9" l="1"/>
  <c r="EU9" i="1" l="1"/>
  <c r="EU11" i="1"/>
  <c r="EU12" i="1"/>
  <c r="EU13" i="1"/>
  <c r="EU14" i="1"/>
  <c r="EU15" i="1"/>
  <c r="EU17" i="1"/>
  <c r="F7" i="1"/>
  <c r="F8" i="1"/>
  <c r="F9" i="1"/>
  <c r="F10" i="1"/>
  <c r="F11" i="1"/>
  <c r="F12" i="1"/>
  <c r="F13" i="1"/>
  <c r="F14" i="1"/>
  <c r="F15" i="1"/>
  <c r="F16" i="1"/>
  <c r="F17" i="1"/>
  <c r="F20" i="1"/>
  <c r="F21" i="1"/>
  <c r="EU8" i="1" l="1"/>
  <c r="EU21" i="1"/>
  <c r="CJ15" i="1"/>
  <c r="EU16" i="1"/>
  <c r="CY14" i="1"/>
  <c r="CP13" i="1"/>
  <c r="DB20" i="1"/>
  <c r="CT20" i="1"/>
  <c r="CL20" i="1"/>
  <c r="CN20" i="1"/>
  <c r="AB20" i="1"/>
  <c r="DA20" i="1"/>
  <c r="CS20" i="1"/>
  <c r="CK20" i="1"/>
  <c r="CV20" i="1"/>
  <c r="X20" i="1"/>
  <c r="CZ20" i="1"/>
  <c r="CR20" i="1"/>
  <c r="CJ20" i="1"/>
  <c r="Y20" i="1"/>
  <c r="AA20" i="1"/>
  <c r="AC20" i="1"/>
  <c r="AE20" i="1"/>
  <c r="AG20" i="1"/>
  <c r="AI20" i="1"/>
  <c r="AK20" i="1"/>
  <c r="AM20" i="1"/>
  <c r="AO20" i="1"/>
  <c r="AL20" i="1"/>
  <c r="AN20" i="1"/>
  <c r="CY20" i="1"/>
  <c r="CQ20" i="1"/>
  <c r="CO20" i="1"/>
  <c r="Z20" i="1"/>
  <c r="AD20" i="1"/>
  <c r="AF20" i="1"/>
  <c r="W20" i="1"/>
  <c r="CX20" i="1"/>
  <c r="CP20" i="1"/>
  <c r="CW20" i="1"/>
  <c r="AH20" i="1"/>
  <c r="AJ20" i="1"/>
  <c r="CU20" i="1"/>
  <c r="CM20" i="1"/>
  <c r="DB10" i="1"/>
  <c r="CT10" i="1"/>
  <c r="CL10" i="1"/>
  <c r="CV10" i="1"/>
  <c r="Z10" i="1"/>
  <c r="DA10" i="1"/>
  <c r="CS10" i="1"/>
  <c r="CK10" i="1"/>
  <c r="CO10" i="1"/>
  <c r="AB10" i="1"/>
  <c r="AD10" i="1"/>
  <c r="AF10" i="1"/>
  <c r="AN10" i="1"/>
  <c r="CZ10" i="1"/>
  <c r="CR10" i="1"/>
  <c r="CJ10" i="1"/>
  <c r="Y10" i="1"/>
  <c r="AA10" i="1"/>
  <c r="AC10" i="1"/>
  <c r="AE10" i="1"/>
  <c r="AG10" i="1"/>
  <c r="AI10" i="1"/>
  <c r="AK10" i="1"/>
  <c r="AM10" i="1"/>
  <c r="AO10" i="1"/>
  <c r="CN10" i="1"/>
  <c r="X10" i="1"/>
  <c r="AJ10" i="1"/>
  <c r="CY10" i="1"/>
  <c r="CQ10" i="1"/>
  <c r="AH10" i="1"/>
  <c r="CX10" i="1"/>
  <c r="CP10" i="1"/>
  <c r="CW10" i="1"/>
  <c r="CU10" i="1"/>
  <c r="CM10" i="1"/>
  <c r="AL10" i="1"/>
  <c r="W10" i="1"/>
  <c r="CZ16" i="1"/>
  <c r="CR16" i="1"/>
  <c r="CJ16" i="1"/>
  <c r="Y16" i="1"/>
  <c r="AA16" i="1"/>
  <c r="AC16" i="1"/>
  <c r="AE16" i="1"/>
  <c r="AG16" i="1"/>
  <c r="AI16" i="1"/>
  <c r="AK16" i="1"/>
  <c r="AM16" i="1"/>
  <c r="AO16" i="1"/>
  <c r="CT16" i="1"/>
  <c r="CY16" i="1"/>
  <c r="CQ16" i="1"/>
  <c r="CX16" i="1"/>
  <c r="CP16" i="1"/>
  <c r="CU16" i="1"/>
  <c r="CL16" i="1"/>
  <c r="CW16" i="1"/>
  <c r="CO16" i="1"/>
  <c r="DB16" i="1"/>
  <c r="CV16" i="1"/>
  <c r="CN16" i="1"/>
  <c r="X16" i="1"/>
  <c r="Z16" i="1"/>
  <c r="AB16" i="1"/>
  <c r="AD16" i="1"/>
  <c r="AF16" i="1"/>
  <c r="AH16" i="1"/>
  <c r="AJ16" i="1"/>
  <c r="AL16" i="1"/>
  <c r="AN16" i="1"/>
  <c r="W16" i="1"/>
  <c r="CM16" i="1"/>
  <c r="DA16" i="1"/>
  <c r="CS16" i="1"/>
  <c r="CK16" i="1"/>
  <c r="CZ8" i="1"/>
  <c r="CR8" i="1"/>
  <c r="CJ8" i="1"/>
  <c r="Y8" i="1"/>
  <c r="AA8" i="1"/>
  <c r="AC8" i="1"/>
  <c r="AE8" i="1"/>
  <c r="AG8" i="1"/>
  <c r="AI8" i="1"/>
  <c r="AK8" i="1"/>
  <c r="AM8" i="1"/>
  <c r="AO8" i="1"/>
  <c r="CT8" i="1"/>
  <c r="CY8" i="1"/>
  <c r="CQ8" i="1"/>
  <c r="CU8" i="1"/>
  <c r="CX8" i="1"/>
  <c r="CP8" i="1"/>
  <c r="CW8" i="1"/>
  <c r="CO8" i="1"/>
  <c r="CM8" i="1"/>
  <c r="CL8" i="1"/>
  <c r="CV8" i="1"/>
  <c r="CN8" i="1"/>
  <c r="X8" i="1"/>
  <c r="Z8" i="1"/>
  <c r="AB8" i="1"/>
  <c r="AD8" i="1"/>
  <c r="AF8" i="1"/>
  <c r="AH8" i="1"/>
  <c r="AJ8" i="1"/>
  <c r="AL8" i="1"/>
  <c r="AN8" i="1"/>
  <c r="W8" i="1"/>
  <c r="DB8" i="1"/>
  <c r="DA8" i="1"/>
  <c r="CS8" i="1"/>
  <c r="CK8" i="1"/>
  <c r="CY21" i="1"/>
  <c r="CQ21" i="1"/>
  <c r="CX21" i="1"/>
  <c r="CP21" i="1"/>
  <c r="AG21" i="1"/>
  <c r="DA21" i="1"/>
  <c r="CW21" i="1"/>
  <c r="CO21" i="1"/>
  <c r="AI21" i="1"/>
  <c r="AK21" i="1"/>
  <c r="AO21" i="1"/>
  <c r="DB21" i="1"/>
  <c r="CS21" i="1"/>
  <c r="CV21" i="1"/>
  <c r="CN21" i="1"/>
  <c r="Y21" i="1"/>
  <c r="AA21" i="1"/>
  <c r="AC21" i="1"/>
  <c r="AE21" i="1"/>
  <c r="AM21" i="1"/>
  <c r="CK21" i="1"/>
  <c r="CU21" i="1"/>
  <c r="CM21" i="1"/>
  <c r="CT21" i="1"/>
  <c r="CL21" i="1"/>
  <c r="CZ21" i="1"/>
  <c r="CR21" i="1"/>
  <c r="CJ21" i="1"/>
  <c r="X21" i="1"/>
  <c r="Z21" i="1"/>
  <c r="AB21" i="1"/>
  <c r="AD21" i="1"/>
  <c r="AF21" i="1"/>
  <c r="AH21" i="1"/>
  <c r="AJ21" i="1"/>
  <c r="AL21" i="1"/>
  <c r="AN21" i="1"/>
  <c r="W21" i="1"/>
  <c r="CT13" i="1"/>
  <c r="DB13" i="1"/>
  <c r="EU20" i="1"/>
  <c r="EU10" i="1"/>
  <c r="CQ13" i="1"/>
  <c r="AL13" i="1"/>
  <c r="AJ13" i="1"/>
  <c r="CJ13" i="1"/>
  <c r="CR13" i="1"/>
  <c r="EU7" i="1"/>
  <c r="CK13" i="1"/>
  <c r="DA7" i="1"/>
  <c r="CS7" i="1"/>
  <c r="CK7" i="1"/>
  <c r="AE7" i="1"/>
  <c r="AM7" i="1"/>
  <c r="AC7" i="1"/>
  <c r="CZ7" i="1"/>
  <c r="CR7" i="1"/>
  <c r="CJ7" i="1"/>
  <c r="AB7" i="1"/>
  <c r="AJ7" i="1"/>
  <c r="CM7" i="1"/>
  <c r="CY7" i="1"/>
  <c r="CQ7" i="1"/>
  <c r="Y7" i="1"/>
  <c r="AG7" i="1"/>
  <c r="AO7" i="1"/>
  <c r="CU7" i="1"/>
  <c r="CX7" i="1"/>
  <c r="CP7" i="1"/>
  <c r="AD7" i="1"/>
  <c r="AL7" i="1"/>
  <c r="CW7" i="1"/>
  <c r="CO7" i="1"/>
  <c r="AA7" i="1"/>
  <c r="AI7" i="1"/>
  <c r="CV7" i="1"/>
  <c r="CN7" i="1"/>
  <c r="X7" i="1"/>
  <c r="AF7" i="1"/>
  <c r="AN7" i="1"/>
  <c r="DB7" i="1"/>
  <c r="CT7" i="1"/>
  <c r="CL7" i="1"/>
  <c r="Z7" i="1"/>
  <c r="AH7" i="1"/>
  <c r="W7" i="1"/>
  <c r="AK7" i="1"/>
  <c r="CT15" i="1" l="1"/>
  <c r="CZ15" i="1"/>
  <c r="AD14" i="1"/>
  <c r="W14" i="1"/>
  <c r="CQ14" i="1"/>
  <c r="Z14" i="1"/>
  <c r="CL14" i="1"/>
  <c r="X14" i="1"/>
  <c r="CK14" i="1"/>
  <c r="CL15" i="1"/>
  <c r="CY15" i="1"/>
  <c r="CK15" i="1"/>
  <c r="DA15" i="1"/>
  <c r="CR15" i="1"/>
  <c r="CQ15" i="1"/>
  <c r="CS15" i="1"/>
  <c r="CO14" i="1"/>
  <c r="AN14" i="1"/>
  <c r="CU14" i="1"/>
  <c r="DB14" i="1"/>
  <c r="CS13" i="1"/>
  <c r="CZ13" i="1"/>
  <c r="AH13" i="1"/>
  <c r="CY13" i="1"/>
  <c r="X13" i="1"/>
  <c r="AN13" i="1"/>
  <c r="CL13" i="1"/>
  <c r="Z13" i="1"/>
  <c r="W13" i="1"/>
  <c r="AB13" i="1"/>
  <c r="CW13" i="1"/>
  <c r="AD13" i="1"/>
  <c r="CX13" i="1"/>
  <c r="CO13" i="1"/>
  <c r="AF13" i="1"/>
  <c r="CP14" i="1"/>
  <c r="CW14" i="1"/>
  <c r="AB14" i="1"/>
  <c r="DA14" i="1"/>
  <c r="CM14" i="1"/>
  <c r="CT14" i="1"/>
  <c r="CV14" i="1"/>
  <c r="AF14" i="1"/>
  <c r="CN14" i="1"/>
  <c r="AH14" i="1"/>
  <c r="CS14" i="1"/>
  <c r="AJ14" i="1"/>
  <c r="AL14" i="1"/>
  <c r="DA13" i="1"/>
  <c r="AA13" i="1"/>
  <c r="AM13" i="1"/>
  <c r="AI13" i="1"/>
  <c r="CV13" i="1"/>
  <c r="Y13" i="1"/>
  <c r="AC13" i="1"/>
  <c r="AG13" i="1"/>
  <c r="AK13" i="1"/>
  <c r="AO13" i="1"/>
  <c r="CU13" i="1"/>
  <c r="CN13" i="1"/>
  <c r="CM13" i="1"/>
  <c r="AE13" i="1"/>
  <c r="CX14" i="1"/>
  <c r="CZ14" i="1"/>
  <c r="AA14" i="1"/>
  <c r="AE14" i="1"/>
  <c r="AI14" i="1"/>
  <c r="AM14" i="1"/>
  <c r="CR14" i="1"/>
  <c r="CJ14" i="1"/>
  <c r="Y14" i="1"/>
  <c r="AC14" i="1"/>
  <c r="AG14" i="1"/>
  <c r="AK14" i="1"/>
  <c r="AO14" i="1"/>
  <c r="DB15" i="1"/>
  <c r="CM15" i="1"/>
  <c r="CX15" i="1"/>
  <c r="AO15" i="1"/>
  <c r="CN15" i="1"/>
  <c r="AD15" i="1"/>
  <c r="CW15" i="1"/>
  <c r="AA15" i="1"/>
  <c r="AE15" i="1"/>
  <c r="AI15" i="1"/>
  <c r="AM15" i="1"/>
  <c r="CV15" i="1"/>
  <c r="X15" i="1"/>
  <c r="AB15" i="1"/>
  <c r="AF15" i="1"/>
  <c r="AJ15" i="1"/>
  <c r="AN15" i="1"/>
  <c r="Y15" i="1"/>
  <c r="AK15" i="1"/>
  <c r="Z15" i="1"/>
  <c r="W15" i="1"/>
  <c r="CU15" i="1"/>
  <c r="CP15" i="1"/>
  <c r="CO15" i="1"/>
  <c r="AC15" i="1"/>
  <c r="AG15" i="1"/>
  <c r="AH15" i="1"/>
  <c r="AL15" i="1"/>
  <c r="CY11" i="1"/>
  <c r="CQ11" i="1"/>
  <c r="CS11" i="1"/>
  <c r="CX11" i="1"/>
  <c r="CP11" i="1"/>
  <c r="AO11" i="1"/>
  <c r="CW11" i="1"/>
  <c r="CO11" i="1"/>
  <c r="AG11" i="1"/>
  <c r="AI11" i="1"/>
  <c r="AK11" i="1"/>
  <c r="CV11" i="1"/>
  <c r="CN11" i="1"/>
  <c r="Y11" i="1"/>
  <c r="AA11" i="1"/>
  <c r="AC11" i="1"/>
  <c r="AE11" i="1"/>
  <c r="AM11" i="1"/>
  <c r="DB11" i="1"/>
  <c r="CT11" i="1"/>
  <c r="CL11" i="1"/>
  <c r="DA11" i="1"/>
  <c r="CU11" i="1"/>
  <c r="CM11" i="1"/>
  <c r="CK11" i="1"/>
  <c r="CZ11" i="1"/>
  <c r="CR11" i="1"/>
  <c r="CJ11" i="1"/>
  <c r="X11" i="1"/>
  <c r="Z11" i="1"/>
  <c r="AB11" i="1"/>
  <c r="AD11" i="1"/>
  <c r="AF11" i="1"/>
  <c r="AH11" i="1"/>
  <c r="AJ11" i="1"/>
  <c r="AL11" i="1"/>
  <c r="AN11" i="1"/>
  <c r="W11" i="1"/>
  <c r="CW9" i="1"/>
  <c r="CO9" i="1"/>
  <c r="CJ9" i="1"/>
  <c r="Z9" i="1"/>
  <c r="AF9" i="1"/>
  <c r="AN9" i="1"/>
  <c r="CV9" i="1"/>
  <c r="CN9" i="1"/>
  <c r="Y9" i="1"/>
  <c r="AA9" i="1"/>
  <c r="AC9" i="1"/>
  <c r="AE9" i="1"/>
  <c r="AG9" i="1"/>
  <c r="AI9" i="1"/>
  <c r="AK9" i="1"/>
  <c r="AM9" i="1"/>
  <c r="AO9" i="1"/>
  <c r="AL9" i="1"/>
  <c r="CQ9" i="1"/>
  <c r="CU9" i="1"/>
  <c r="CM9" i="1"/>
  <c r="CR9" i="1"/>
  <c r="X9" i="1"/>
  <c r="AH9" i="1"/>
  <c r="AJ9" i="1"/>
  <c r="DB9" i="1"/>
  <c r="CT9" i="1"/>
  <c r="CL9" i="1"/>
  <c r="CZ9" i="1"/>
  <c r="CY9" i="1"/>
  <c r="DA9" i="1"/>
  <c r="CS9" i="1"/>
  <c r="CK9" i="1"/>
  <c r="AB9" i="1"/>
  <c r="AD9" i="1"/>
  <c r="W9" i="1"/>
  <c r="CX9" i="1"/>
  <c r="CP9" i="1"/>
  <c r="CW17" i="1"/>
  <c r="CO17" i="1"/>
  <c r="AB17" i="1"/>
  <c r="AD17" i="1"/>
  <c r="CV17" i="1"/>
  <c r="CN17" i="1"/>
  <c r="Y17" i="1"/>
  <c r="AA17" i="1"/>
  <c r="AC17" i="1"/>
  <c r="AE17" i="1"/>
  <c r="AG17" i="1"/>
  <c r="AI17" i="1"/>
  <c r="AK17" i="1"/>
  <c r="AM17" i="1"/>
  <c r="AO17" i="1"/>
  <c r="CJ17" i="1"/>
  <c r="AF17" i="1"/>
  <c r="AH17" i="1"/>
  <c r="AJ17" i="1"/>
  <c r="CQ17" i="1"/>
  <c r="CU17" i="1"/>
  <c r="CM17" i="1"/>
  <c r="CY17" i="1"/>
  <c r="DB17" i="1"/>
  <c r="CT17" i="1"/>
  <c r="CL17" i="1"/>
  <c r="Z17" i="1"/>
  <c r="W17" i="1"/>
  <c r="DA17" i="1"/>
  <c r="CS17" i="1"/>
  <c r="CK17" i="1"/>
  <c r="CZ17" i="1"/>
  <c r="CR17" i="1"/>
  <c r="X17" i="1"/>
  <c r="AL17" i="1"/>
  <c r="AN17" i="1"/>
  <c r="CX17" i="1"/>
  <c r="CP17" i="1"/>
  <c r="CV12" i="1"/>
  <c r="CN12" i="1"/>
  <c r="X12" i="1"/>
  <c r="Z12" i="1"/>
  <c r="AB12" i="1"/>
  <c r="AD12" i="1"/>
  <c r="AF12" i="1"/>
  <c r="AH12" i="1"/>
  <c r="AJ12" i="1"/>
  <c r="AL12" i="1"/>
  <c r="AN12" i="1"/>
  <c r="W12" i="1"/>
  <c r="CX12" i="1"/>
  <c r="CU12" i="1"/>
  <c r="CM12" i="1"/>
  <c r="DB12" i="1"/>
  <c r="CT12" i="1"/>
  <c r="CL12" i="1"/>
  <c r="CP12" i="1"/>
  <c r="DA12" i="1"/>
  <c r="CS12" i="1"/>
  <c r="CK12" i="1"/>
  <c r="CY12" i="1"/>
  <c r="CQ12" i="1"/>
  <c r="CZ12" i="1"/>
  <c r="CR12" i="1"/>
  <c r="CJ12" i="1"/>
  <c r="Y12" i="1"/>
  <c r="AA12" i="1"/>
  <c r="AC12" i="1"/>
  <c r="AE12" i="1"/>
  <c r="AG12" i="1"/>
  <c r="AI12" i="1"/>
  <c r="AK12" i="1"/>
  <c r="AM12" i="1"/>
  <c r="AO12" i="1"/>
  <c r="CW12" i="1"/>
  <c r="CO12" i="1"/>
  <c r="AR18" i="1" l="1"/>
  <c r="BD18" i="1"/>
  <c r="BE18" i="1"/>
  <c r="BG18" i="1"/>
  <c r="AW18" i="1"/>
  <c r="AY18" i="1"/>
  <c r="BH18" i="1"/>
  <c r="AQ18" i="1"/>
  <c r="AZ19" i="1"/>
  <c r="AZ18" i="1"/>
  <c r="BB18" i="1"/>
  <c r="BC18" i="1"/>
  <c r="BF18" i="1"/>
  <c r="AT18" i="1"/>
  <c r="AU18" i="1"/>
  <c r="AX18" i="1"/>
  <c r="BA18" i="1"/>
  <c r="DS18" i="1"/>
  <c r="AV18" i="1"/>
  <c r="AP18" i="1"/>
  <c r="AS18" i="1"/>
  <c r="BE19" i="1"/>
  <c r="AX19" i="1"/>
  <c r="AV19" i="1"/>
  <c r="AP19" i="1"/>
  <c r="AW19" i="1"/>
  <c r="AT19" i="1"/>
  <c r="BB19" i="1"/>
  <c r="AS19" i="1"/>
  <c r="BG19" i="1"/>
  <c r="AR19" i="1"/>
  <c r="DK18" i="1"/>
  <c r="AU19" i="1"/>
  <c r="AY19" i="1"/>
  <c r="BA19" i="1"/>
  <c r="DL18" i="1"/>
  <c r="BC19" i="1"/>
  <c r="AQ19" i="1"/>
  <c r="BH19" i="1"/>
  <c r="BD19" i="1"/>
  <c r="BF19" i="1"/>
  <c r="DH18" i="1"/>
  <c r="DT18" i="1"/>
  <c r="DE18" i="1"/>
  <c r="DJ18" i="1"/>
  <c r="DD18" i="1"/>
  <c r="DP18" i="1"/>
  <c r="DO18" i="1"/>
  <c r="DR18" i="1"/>
  <c r="DP19" i="1"/>
  <c r="DU18" i="1"/>
  <c r="DQ18" i="1"/>
  <c r="DC18" i="1"/>
  <c r="DI18" i="1"/>
  <c r="DN18" i="1"/>
  <c r="DF19" i="1"/>
  <c r="DM18" i="1"/>
  <c r="DF18" i="1"/>
  <c r="DG18" i="1"/>
  <c r="DR19" i="1"/>
  <c r="DE19" i="1"/>
  <c r="DC19" i="1"/>
  <c r="DQ19" i="1"/>
  <c r="DS19" i="1"/>
  <c r="DH19" i="1"/>
  <c r="DD19" i="1"/>
  <c r="DO19" i="1"/>
  <c r="DT19" i="1"/>
  <c r="DG19" i="1"/>
  <c r="DJ19" i="1"/>
  <c r="DI19" i="1"/>
  <c r="DM19" i="1"/>
  <c r="DK19" i="1"/>
  <c r="DN19" i="1"/>
  <c r="DL19" i="1"/>
  <c r="DU19" i="1"/>
  <c r="AW9" i="1"/>
  <c r="DM9" i="1"/>
  <c r="DJ9" i="1"/>
  <c r="DR17" i="1"/>
  <c r="AR21" i="1"/>
  <c r="AV9" i="1"/>
  <c r="BA20" i="1"/>
  <c r="AU17" i="1"/>
  <c r="AY9" i="1"/>
  <c r="BF15" i="1"/>
  <c r="BD16" i="1"/>
  <c r="BD11" i="1"/>
  <c r="BA11" i="1"/>
  <c r="BF9" i="1"/>
  <c r="AP17" i="1"/>
  <c r="AW17" i="1"/>
  <c r="AU9" i="1"/>
  <c r="BG20" i="1"/>
  <c r="DG7" i="1"/>
  <c r="AR15" i="1"/>
  <c r="BB12" i="1"/>
  <c r="BG9" i="1"/>
  <c r="DE11" i="1"/>
  <c r="DS21" i="1"/>
  <c r="BB15" i="1"/>
  <c r="DH13" i="1"/>
  <c r="DS15" i="1"/>
  <c r="BB21" i="1"/>
  <c r="BB10" i="1"/>
  <c r="AW11" i="1"/>
  <c r="BA16" i="1"/>
  <c r="DJ15" i="1"/>
  <c r="DO10" i="1"/>
  <c r="DM7" i="1"/>
  <c r="DG20" i="1"/>
  <c r="DD21" i="1"/>
  <c r="DG14" i="1"/>
  <c r="DS12" i="1"/>
  <c r="DJ21" i="1"/>
  <c r="DT21" i="1"/>
  <c r="DD15" i="1"/>
  <c r="DD8" i="1"/>
  <c r="DK12" i="1"/>
  <c r="DD17" i="1"/>
  <c r="DN9" i="1"/>
  <c r="DR13" i="1"/>
  <c r="DM21" i="1"/>
  <c r="DS11" i="1"/>
  <c r="DT15" i="1"/>
  <c r="DQ21" i="1"/>
  <c r="DL7" i="1"/>
  <c r="DD16" i="1"/>
  <c r="DM15" i="1"/>
  <c r="DK10" i="1"/>
  <c r="DN10" i="1"/>
  <c r="DI7" i="1"/>
  <c r="DD20" i="1"/>
  <c r="DP8" i="1"/>
  <c r="DT17" i="1"/>
  <c r="DE20" i="1"/>
  <c r="DR20" i="1"/>
  <c r="DC7" i="1"/>
  <c r="DP13" i="1"/>
  <c r="DS7" i="1"/>
  <c r="DN21" i="1"/>
  <c r="DF20" i="1"/>
  <c r="DC8" i="1"/>
  <c r="DQ9" i="1"/>
  <c r="DT12" i="1"/>
  <c r="DF13" i="1"/>
  <c r="DU16" i="1"/>
  <c r="DI9" i="1"/>
  <c r="DR11" i="1"/>
  <c r="DN13" i="1"/>
  <c r="DM16" i="1"/>
  <c r="DU15" i="1"/>
  <c r="DE8" i="1"/>
  <c r="DJ8" i="1"/>
  <c r="DC21" i="1"/>
  <c r="DH20" i="1"/>
  <c r="DU11" i="1"/>
  <c r="DF17" i="1"/>
  <c r="DN14" i="1"/>
  <c r="DO15" i="1"/>
  <c r="DR12" i="1"/>
  <c r="DT20" i="1"/>
  <c r="DP16" i="1"/>
  <c r="DI8" i="1"/>
  <c r="DL9" i="1"/>
  <c r="DM14" i="1"/>
  <c r="DU7" i="1"/>
  <c r="DD10" i="1"/>
  <c r="DT7" i="1"/>
  <c r="DK13" i="1"/>
  <c r="DD13" i="1"/>
  <c r="DR16" i="1"/>
  <c r="DS10" i="1"/>
  <c r="DP10" i="1"/>
  <c r="DU12" i="1"/>
  <c r="DG10" i="1"/>
  <c r="DJ16" i="1"/>
  <c r="DH11" i="1"/>
  <c r="DM12" i="1"/>
  <c r="DS16" i="1"/>
  <c r="DC12" i="1"/>
  <c r="DN17" i="1"/>
  <c r="DF10" i="1"/>
  <c r="DT10" i="1"/>
  <c r="DH7" i="1"/>
  <c r="DD9" i="1"/>
  <c r="DL11" i="1"/>
  <c r="DG9" i="1"/>
  <c r="DG16" i="1"/>
  <c r="DQ7" i="1"/>
  <c r="DC14" i="1"/>
  <c r="DO20" i="1"/>
  <c r="DU10" i="1"/>
  <c r="DN11" i="1"/>
  <c r="DG21" i="1"/>
  <c r="DH8" i="1"/>
  <c r="DS8" i="1"/>
  <c r="DF7" i="1"/>
  <c r="DM17" i="1"/>
  <c r="DP14" i="1"/>
  <c r="DC9" i="1"/>
  <c r="DL13" i="1"/>
  <c r="DO7" i="1"/>
  <c r="DE17" i="1"/>
  <c r="DH15" i="1"/>
  <c r="DR7" i="1"/>
  <c r="DR21" i="1"/>
  <c r="DF8" i="1"/>
  <c r="DJ11" i="1"/>
  <c r="DF14" i="1"/>
  <c r="DE16" i="1"/>
  <c r="DT13" i="1"/>
  <c r="DO16" i="1"/>
  <c r="DH16" i="1"/>
  <c r="DQ8" i="1"/>
  <c r="DO17" i="1"/>
  <c r="DM20" i="1"/>
  <c r="DO12" i="1"/>
  <c r="DQ16" i="1"/>
  <c r="DR10" i="1"/>
  <c r="DL14" i="1"/>
  <c r="DK8" i="1"/>
  <c r="DS13" i="1"/>
  <c r="DE14" i="1"/>
  <c r="DM10" i="1"/>
  <c r="DK14" i="1"/>
  <c r="DH14" i="1"/>
  <c r="DF21" i="1"/>
  <c r="DU13" i="1"/>
  <c r="DP20" i="1"/>
  <c r="DO8" i="1"/>
  <c r="DU17" i="1"/>
  <c r="DT14" i="1"/>
  <c r="DM13" i="1"/>
  <c r="DG8" i="1"/>
  <c r="DD14" i="1"/>
  <c r="DN8" i="1"/>
  <c r="DP11" i="1"/>
  <c r="DE12" i="1"/>
  <c r="DE10" i="1"/>
  <c r="DI12" i="1"/>
  <c r="DL10" i="1"/>
  <c r="DH10" i="1"/>
  <c r="DU14" i="1"/>
  <c r="DH21" i="1"/>
  <c r="DQ10" i="1"/>
  <c r="DI14" i="1"/>
  <c r="DQ13" i="1"/>
  <c r="DN15" i="1"/>
  <c r="DT8" i="1"/>
  <c r="DD7" i="1"/>
  <c r="DK16" i="1"/>
  <c r="DO9" i="1"/>
  <c r="DJ10" i="1"/>
  <c r="DK20" i="1"/>
  <c r="DC17" i="1"/>
  <c r="DC16" i="1"/>
  <c r="DU8" i="1"/>
  <c r="DR8" i="1"/>
  <c r="DS20" i="1"/>
  <c r="DK15" i="1"/>
  <c r="DR9" i="1"/>
  <c r="DQ15" i="1"/>
  <c r="DS9" i="1"/>
  <c r="DE7" i="1"/>
  <c r="DE21" i="1"/>
  <c r="DK11" i="1"/>
  <c r="DN7" i="1"/>
  <c r="DK21" i="1"/>
  <c r="DT16" i="1"/>
  <c r="DF9" i="1"/>
  <c r="DG15" i="1"/>
  <c r="DM8" i="1"/>
  <c r="DC10" i="1"/>
  <c r="DI17" i="1"/>
  <c r="DQ14" i="1"/>
  <c r="DJ13" i="1"/>
  <c r="DL16" i="1"/>
  <c r="DU20" i="1"/>
  <c r="DL20" i="1"/>
  <c r="DN20" i="1"/>
  <c r="DI13" i="1"/>
  <c r="DI20" i="1"/>
  <c r="DI10" i="1"/>
  <c r="DQ20" i="1"/>
  <c r="DF16" i="1"/>
  <c r="DE13" i="1"/>
  <c r="DC15" i="1"/>
  <c r="DE15" i="1"/>
  <c r="DJ12" i="1"/>
  <c r="DJ7" i="1"/>
  <c r="DD12" i="1"/>
  <c r="DC20" i="1"/>
  <c r="DI15" i="1"/>
  <c r="DP15" i="1"/>
  <c r="DP21" i="1"/>
  <c r="DC11" i="1"/>
  <c r="DC13" i="1"/>
  <c r="DO14" i="1"/>
  <c r="DK9" i="1"/>
  <c r="DI21" i="1"/>
  <c r="DQ11" i="1"/>
  <c r="DR14" i="1"/>
  <c r="DE9" i="1"/>
  <c r="DF15" i="1"/>
  <c r="DP7" i="1"/>
  <c r="DK7" i="1"/>
  <c r="DG17" i="1"/>
  <c r="DL21" i="1"/>
  <c r="DL8" i="1"/>
  <c r="DI16" i="1"/>
  <c r="DJ14" i="1"/>
  <c r="DS14" i="1"/>
  <c r="DU21" i="1"/>
  <c r="DJ20" i="1"/>
  <c r="DN16" i="1"/>
  <c r="DG13" i="1"/>
  <c r="DD11" i="1"/>
  <c r="DT9" i="1"/>
  <c r="DO21" i="1"/>
  <c r="DH17" i="1"/>
  <c r="DR15" i="1"/>
  <c r="DO13" i="1"/>
  <c r="DL15" i="1"/>
  <c r="DF11" i="1"/>
  <c r="BG17" i="1"/>
  <c r="DU9" i="1"/>
  <c r="AP14" i="1"/>
  <c r="AT14" i="1"/>
  <c r="AS20" i="1"/>
  <c r="AZ9" i="1"/>
  <c r="AY8" i="1"/>
  <c r="AP21" i="1"/>
  <c r="BH21" i="1"/>
  <c r="DH12" i="1"/>
  <c r="DJ17" i="1"/>
  <c r="BG13" i="1"/>
  <c r="AY15" i="1"/>
  <c r="AY12" i="1"/>
  <c r="BB7" i="1"/>
  <c r="BC9" i="1"/>
  <c r="AT15" i="1"/>
  <c r="DP12" i="1"/>
  <c r="AT12" i="1"/>
  <c r="DL12" i="1"/>
  <c r="DQ12" i="1"/>
  <c r="AU12" i="1"/>
  <c r="BE17" i="1"/>
  <c r="AS17" i="1"/>
  <c r="BC17" i="1"/>
  <c r="AZ17" i="1"/>
  <c r="AV12" i="1"/>
  <c r="AV16" i="1"/>
  <c r="BD20" i="1"/>
  <c r="BA15" i="1"/>
  <c r="AT10" i="1"/>
  <c r="BF17" i="1"/>
  <c r="AQ12" i="1"/>
  <c r="AW20" i="1"/>
  <c r="BA17" i="1"/>
  <c r="BD9" i="1"/>
  <c r="DN12" i="1"/>
  <c r="BE9" i="1"/>
  <c r="AW15" i="1"/>
  <c r="BD7" i="1"/>
  <c r="AY14" i="1"/>
  <c r="BA7" i="1"/>
  <c r="AP15" i="1"/>
  <c r="BD14" i="1"/>
  <c r="BG11" i="1"/>
  <c r="AQ11" i="1"/>
  <c r="DG11" i="1"/>
  <c r="DI11" i="1"/>
  <c r="BF20" i="1"/>
  <c r="AW12" i="1"/>
  <c r="DH9" i="1"/>
  <c r="AP12" i="1"/>
  <c r="BH12" i="1"/>
  <c r="AQ13" i="1"/>
  <c r="AY16" i="1"/>
  <c r="BC10" i="1"/>
  <c r="AX7" i="1"/>
  <c r="BH17" i="1"/>
  <c r="AS14" i="1"/>
  <c r="BE11" i="1"/>
  <c r="DM11" i="1"/>
  <c r="DO11" i="1"/>
  <c r="BB17" i="1"/>
  <c r="AW10" i="1"/>
  <c r="AW13" i="1"/>
  <c r="AU13" i="1"/>
  <c r="BE8" i="1"/>
  <c r="BE10" i="1"/>
  <c r="BC13" i="1"/>
  <c r="AQ10" i="1"/>
  <c r="BF12" i="1"/>
  <c r="AQ16" i="1"/>
  <c r="AX17" i="1"/>
  <c r="BE20" i="1"/>
  <c r="BH8" i="1"/>
  <c r="AS11" i="1"/>
  <c r="AZ12" i="1"/>
  <c r="BA21" i="1"/>
  <c r="AY13" i="1"/>
  <c r="BH16" i="1"/>
  <c r="AV20" i="1"/>
  <c r="BC14" i="1"/>
  <c r="AX16" i="1"/>
  <c r="BA10" i="1"/>
  <c r="BH11" i="1"/>
  <c r="AR9" i="1"/>
  <c r="BE7" i="1"/>
  <c r="BD15" i="1"/>
  <c r="AQ15" i="1"/>
  <c r="AS15" i="1"/>
  <c r="AU15" i="1"/>
  <c r="BB16" i="1"/>
  <c r="AP13" i="1"/>
  <c r="AV21" i="1"/>
  <c r="BC15" i="1"/>
  <c r="AQ17" i="1"/>
  <c r="AX13" i="1"/>
  <c r="BH7" i="1"/>
  <c r="AX21" i="1"/>
  <c r="BF7" i="1"/>
  <c r="AX10" i="1"/>
  <c r="AR20" i="1"/>
  <c r="AS13" i="1"/>
  <c r="AZ14" i="1"/>
  <c r="BG10" i="1"/>
  <c r="AW8" i="1"/>
  <c r="BC7" i="1"/>
  <c r="BB14" i="1"/>
  <c r="BD8" i="1"/>
  <c r="AQ20" i="1"/>
  <c r="AR13" i="1"/>
  <c r="BH13" i="1"/>
  <c r="AV15" i="1"/>
  <c r="AV13" i="1"/>
  <c r="AP8" i="1"/>
  <c r="BD13" i="1"/>
  <c r="AZ20" i="1"/>
  <c r="BB20" i="1"/>
  <c r="AQ7" i="1"/>
  <c r="AW16" i="1"/>
  <c r="BH20" i="1"/>
  <c r="AQ21" i="1"/>
  <c r="AY7" i="1"/>
  <c r="BE16" i="1"/>
  <c r="AZ8" i="1"/>
  <c r="BD10" i="1"/>
  <c r="AY10" i="1"/>
  <c r="AT20" i="1"/>
  <c r="AZ16" i="1"/>
  <c r="AU14" i="1"/>
  <c r="BB9" i="1"/>
  <c r="AS10" i="1"/>
  <c r="AZ11" i="1"/>
  <c r="BC8" i="1"/>
  <c r="AV7" i="1"/>
  <c r="AR10" i="1"/>
  <c r="AV17" i="1"/>
  <c r="BC20" i="1"/>
  <c r="BC16" i="1"/>
  <c r="BG7" i="1"/>
  <c r="BE14" i="1"/>
  <c r="BC21" i="1"/>
  <c r="AP9" i="1"/>
  <c r="BG15" i="1"/>
  <c r="BD21" i="1"/>
  <c r="AQ8" i="1"/>
  <c r="AU10" i="1"/>
  <c r="AP20" i="1"/>
  <c r="AT7" i="1"/>
  <c r="BD12" i="1"/>
  <c r="AR14" i="1"/>
  <c r="BF13" i="1"/>
  <c r="AT16" i="1"/>
  <c r="AX8" i="1"/>
  <c r="AW7" i="1"/>
  <c r="AV8" i="1"/>
  <c r="AZ13" i="1"/>
  <c r="BG14" i="1"/>
  <c r="BG12" i="1"/>
  <c r="AX11" i="1"/>
  <c r="BF16" i="1"/>
  <c r="BC11" i="1"/>
  <c r="AR7" i="1"/>
  <c r="BA8" i="1"/>
  <c r="BF11" i="1"/>
  <c r="AT13" i="1"/>
  <c r="AT11" i="1"/>
  <c r="AT9" i="1"/>
  <c r="BB13" i="1"/>
  <c r="BB11" i="1"/>
  <c r="AQ9" i="1"/>
  <c r="AR16" i="1"/>
  <c r="AY17" i="1"/>
  <c r="AT17" i="1"/>
  <c r="BF8" i="1"/>
  <c r="AR11" i="1"/>
  <c r="AU8" i="1"/>
  <c r="BE21" i="1"/>
  <c r="BG16" i="1"/>
  <c r="AU20" i="1"/>
  <c r="AU16" i="1"/>
  <c r="BH9" i="1"/>
  <c r="AY11" i="1"/>
  <c r="AZ10" i="1"/>
  <c r="BH15" i="1"/>
  <c r="AS7" i="1"/>
  <c r="BB8" i="1"/>
  <c r="AS9" i="1"/>
  <c r="AS16" i="1"/>
  <c r="AR8" i="1"/>
  <c r="AV10" i="1"/>
  <c r="BA9" i="1"/>
  <c r="BF14" i="1"/>
  <c r="BC12" i="1"/>
  <c r="AQ14" i="1"/>
  <c r="AX15" i="1"/>
  <c r="AU11" i="1"/>
  <c r="BF21" i="1"/>
  <c r="AR12" i="1"/>
  <c r="AT21" i="1"/>
  <c r="BE12" i="1"/>
  <c r="BG8" i="1"/>
  <c r="BA13" i="1"/>
  <c r="BH14" i="1"/>
  <c r="AV11" i="1"/>
  <c r="BA12" i="1"/>
  <c r="AW21" i="1"/>
  <c r="BG21" i="1"/>
  <c r="AU21" i="1"/>
  <c r="AP10" i="1"/>
  <c r="AY20" i="1"/>
  <c r="AZ21" i="1"/>
  <c r="AP16" i="1"/>
  <c r="AU7" i="1"/>
  <c r="AY21" i="1"/>
  <c r="BA14" i="1"/>
  <c r="AT8" i="1"/>
  <c r="BE13" i="1"/>
  <c r="AX12" i="1"/>
  <c r="DF12" i="1"/>
  <c r="DQ17" i="1"/>
  <c r="BD17" i="1"/>
  <c r="BE15" i="1"/>
  <c r="AX14" i="1"/>
  <c r="AV14" i="1"/>
  <c r="AX9" i="1"/>
  <c r="AP11" i="1"/>
  <c r="DT11" i="1"/>
  <c r="AS21" i="1"/>
  <c r="AS12" i="1"/>
  <c r="DP9" i="1"/>
  <c r="AX20" i="1"/>
  <c r="DK17" i="1"/>
  <c r="DP17" i="1"/>
  <c r="AZ7" i="1"/>
  <c r="BH10" i="1"/>
  <c r="DG12" i="1"/>
  <c r="DS17" i="1"/>
  <c r="AP7" i="1"/>
  <c r="AW14" i="1"/>
  <c r="AR17" i="1"/>
  <c r="BF10" i="1"/>
  <c r="DL17" i="1"/>
  <c r="AS8" i="1"/>
  <c r="AZ15" i="1"/>
  <c r="EL19" i="1" l="1"/>
  <c r="DY19" i="1"/>
  <c r="EH18" i="1"/>
  <c r="BW19" i="1"/>
  <c r="ED18" i="1"/>
  <c r="BO19" i="1"/>
  <c r="BQ18" i="1"/>
  <c r="BJ18" i="1"/>
  <c r="EB19" i="1"/>
  <c r="EJ19" i="1"/>
  <c r="EG18" i="1"/>
  <c r="EI18" i="1"/>
  <c r="CA19" i="1"/>
  <c r="BK19" i="1"/>
  <c r="BQ19" i="1"/>
  <c r="BN18" i="1"/>
  <c r="CA18" i="1"/>
  <c r="EF19" i="1"/>
  <c r="EC19" i="1"/>
  <c r="DV19" i="1"/>
  <c r="EB18" i="1"/>
  <c r="DW18" i="1"/>
  <c r="BJ19" i="1"/>
  <c r="BZ19" i="1"/>
  <c r="BX19" i="1"/>
  <c r="BM18" i="1"/>
  <c r="BR18" i="1"/>
  <c r="DZ19" i="1"/>
  <c r="DX19" i="1"/>
  <c r="DV18" i="1"/>
  <c r="EC18" i="1"/>
  <c r="BV19" i="1"/>
  <c r="BL19" i="1"/>
  <c r="BL18" i="1"/>
  <c r="BY18" i="1"/>
  <c r="BP18" i="1"/>
  <c r="EN19" i="1"/>
  <c r="EM19" i="1"/>
  <c r="EK19" i="1"/>
  <c r="EJ18" i="1"/>
  <c r="DX18" i="1"/>
  <c r="EE18" i="1"/>
  <c r="BU19" i="1"/>
  <c r="BV18" i="1"/>
  <c r="BZ18" i="1"/>
  <c r="EE19" i="1"/>
  <c r="EH19" i="1"/>
  <c r="DZ18" i="1"/>
  <c r="EN18" i="1"/>
  <c r="EM18" i="1"/>
  <c r="BT19" i="1"/>
  <c r="BM19" i="1"/>
  <c r="BO18" i="1"/>
  <c r="BU18" i="1"/>
  <c r="BX18" i="1"/>
  <c r="EG19" i="1"/>
  <c r="DW19" i="1"/>
  <c r="DY18" i="1"/>
  <c r="EI19" i="1"/>
  <c r="EA18" i="1"/>
  <c r="BR19" i="1"/>
  <c r="BP19" i="1"/>
  <c r="EL18" i="1"/>
  <c r="BS18" i="1"/>
  <c r="BW18" i="1"/>
  <c r="ED19" i="1"/>
  <c r="EA19" i="1"/>
  <c r="EF18" i="1"/>
  <c r="EK18" i="1"/>
  <c r="BY19" i="1"/>
  <c r="BN19" i="1"/>
  <c r="BT18" i="1"/>
  <c r="BS19" i="1"/>
  <c r="BK18" i="1"/>
  <c r="BI18" i="1"/>
  <c r="BI19" i="1"/>
  <c r="EL17" i="1"/>
  <c r="EI9" i="1"/>
  <c r="BX15" i="1"/>
  <c r="BR21" i="1"/>
  <c r="BP21" i="1"/>
  <c r="BK12" i="1"/>
  <c r="BO10" i="1"/>
  <c r="BR11" i="1"/>
  <c r="BY8" i="1"/>
  <c r="BM11" i="1"/>
  <c r="BZ12" i="1"/>
  <c r="BK14" i="1"/>
  <c r="BR10" i="1"/>
  <c r="BK13" i="1"/>
  <c r="BL13" i="1"/>
  <c r="BV15" i="1"/>
  <c r="BX7" i="1"/>
  <c r="BR13" i="1"/>
  <c r="BY12" i="1"/>
  <c r="BU17" i="1"/>
  <c r="BR16" i="1"/>
  <c r="DZ11" i="1"/>
  <c r="BP15" i="1"/>
  <c r="BM10" i="1"/>
  <c r="BX17" i="1"/>
  <c r="BU7" i="1"/>
  <c r="BR8" i="1"/>
  <c r="EE15" i="1"/>
  <c r="EG16" i="1"/>
  <c r="DZ17" i="1"/>
  <c r="ED9" i="1"/>
  <c r="DW12" i="1"/>
  <c r="EB10" i="1"/>
  <c r="EJ14" i="1"/>
  <c r="EG7" i="1"/>
  <c r="EL20" i="1"/>
  <c r="ED16" i="1"/>
  <c r="EN14" i="1"/>
  <c r="DW14" i="1"/>
  <c r="DY21" i="1"/>
  <c r="EK10" i="1"/>
  <c r="EM13" i="1"/>
  <c r="DX17" i="1"/>
  <c r="EA8" i="1"/>
  <c r="DZ9" i="1"/>
  <c r="EL16" i="1"/>
  <c r="EK16" i="1"/>
  <c r="EB8" i="1"/>
  <c r="EA20" i="1"/>
  <c r="EB9" i="1"/>
  <c r="EL7" i="1"/>
  <c r="EL11" i="1"/>
  <c r="EM21" i="1"/>
  <c r="EC15" i="1"/>
  <c r="EL21" i="1"/>
  <c r="BP17" i="1"/>
  <c r="BN17" i="1"/>
  <c r="BY21" i="1"/>
  <c r="BM17" i="1"/>
  <c r="BM13" i="1"/>
  <c r="BZ14" i="1"/>
  <c r="BW12" i="1"/>
  <c r="BV21" i="1"/>
  <c r="BV8" i="1"/>
  <c r="BW10" i="1"/>
  <c r="BU20" i="1"/>
  <c r="BJ20" i="1"/>
  <c r="BK20" i="1"/>
  <c r="BO21" i="1"/>
  <c r="BK9" i="1"/>
  <c r="BT21" i="1"/>
  <c r="EH11" i="1"/>
  <c r="BJ13" i="1"/>
  <c r="BX9" i="1"/>
  <c r="BT15" i="1"/>
  <c r="BN12" i="1"/>
  <c r="BR12" i="1"/>
  <c r="BS9" i="1"/>
  <c r="EH13" i="1"/>
  <c r="EC20" i="1"/>
  <c r="ED7" i="1"/>
  <c r="EH14" i="1"/>
  <c r="EB20" i="1"/>
  <c r="EB17" i="1"/>
  <c r="ED11" i="1"/>
  <c r="EK8" i="1"/>
  <c r="EA10" i="1"/>
  <c r="DZ8" i="1"/>
  <c r="EA14" i="1"/>
  <c r="EJ16" i="1"/>
  <c r="DX16" i="1"/>
  <c r="EH7" i="1"/>
  <c r="DZ21" i="1"/>
  <c r="EE11" i="1"/>
  <c r="EF12" i="1"/>
  <c r="DW13" i="1"/>
  <c r="EI16" i="1"/>
  <c r="DV21" i="1"/>
  <c r="EN16" i="1"/>
  <c r="EI13" i="1"/>
  <c r="EG10" i="1"/>
  <c r="EF21" i="1"/>
  <c r="EC21" i="1"/>
  <c r="BT16" i="1"/>
  <c r="DX11" i="1"/>
  <c r="BT20" i="1"/>
  <c r="CA9" i="1"/>
  <c r="BS15" i="1"/>
  <c r="DZ12" i="1"/>
  <c r="BL21" i="1"/>
  <c r="EJ17" i="1"/>
  <c r="BO11" i="1"/>
  <c r="BN11" i="1"/>
  <c r="BL16" i="1"/>
  <c r="BN16" i="1"/>
  <c r="BR17" i="1"/>
  <c r="BY11" i="1"/>
  <c r="BS13" i="1"/>
  <c r="BX14" i="1"/>
  <c r="BS11" i="1"/>
  <c r="BS8" i="1"/>
  <c r="BS20" i="1"/>
  <c r="BW8" i="1"/>
  <c r="BQ10" i="1"/>
  <c r="CA11" i="1"/>
  <c r="BS12" i="1"/>
  <c r="BV13" i="1"/>
  <c r="EF11" i="1"/>
  <c r="CA12" i="1"/>
  <c r="BZ11" i="1"/>
  <c r="EG12" i="1"/>
  <c r="BW20" i="1"/>
  <c r="EJ12" i="1"/>
  <c r="BR15" i="1"/>
  <c r="BL20" i="1"/>
  <c r="EK15" i="1"/>
  <c r="EN21" i="1"/>
  <c r="EI7" i="1"/>
  <c r="EC12" i="1"/>
  <c r="EB13" i="1"/>
  <c r="DX21" i="1"/>
  <c r="EN8" i="1"/>
  <c r="EM8" i="1"/>
  <c r="EE10" i="1"/>
  <c r="EF13" i="1"/>
  <c r="ED14" i="1"/>
  <c r="EH12" i="1"/>
  <c r="DY14" i="1"/>
  <c r="EE13" i="1"/>
  <c r="EG11" i="1"/>
  <c r="EA11" i="1"/>
  <c r="ED13" i="1"/>
  <c r="EM20" i="1"/>
  <c r="EC8" i="1"/>
  <c r="DY13" i="1"/>
  <c r="ED10" i="1"/>
  <c r="EK13" i="1"/>
  <c r="EL12" i="1"/>
  <c r="BP11" i="1"/>
  <c r="BZ9" i="1"/>
  <c r="BY9" i="1"/>
  <c r="BO9" i="1"/>
  <c r="BW17" i="1"/>
  <c r="DY12" i="1"/>
  <c r="CA14" i="1"/>
  <c r="BL9" i="1"/>
  <c r="BK16" i="1"/>
  <c r="BT8" i="1"/>
  <c r="BO8" i="1"/>
  <c r="BI20" i="1"/>
  <c r="BZ7" i="1"/>
  <c r="BL10" i="1"/>
  <c r="BX16" i="1"/>
  <c r="BW13" i="1"/>
  <c r="BU14" i="1"/>
  <c r="BY7" i="1"/>
  <c r="BU16" i="1"/>
  <c r="BT10" i="1"/>
  <c r="BL11" i="1"/>
  <c r="BX10" i="1"/>
  <c r="BX11" i="1"/>
  <c r="BW14" i="1"/>
  <c r="BW9" i="1"/>
  <c r="BO16" i="1"/>
  <c r="EE12" i="1"/>
  <c r="BZ13" i="1"/>
  <c r="BM14" i="1"/>
  <c r="EA17" i="1"/>
  <c r="EL14" i="1"/>
  <c r="DY15" i="1"/>
  <c r="DX15" i="1"/>
  <c r="EG20" i="1"/>
  <c r="EF8" i="1"/>
  <c r="EG15" i="1"/>
  <c r="EB12" i="1"/>
  <c r="EM14" i="1"/>
  <c r="EF10" i="1"/>
  <c r="EF20" i="1"/>
  <c r="EC11" i="1"/>
  <c r="EN10" i="1"/>
  <c r="EC16" i="1"/>
  <c r="EM7" i="1"/>
  <c r="EK12" i="1"/>
  <c r="EM12" i="1"/>
  <c r="EK20" i="1"/>
  <c r="EF15" i="1"/>
  <c r="EG9" i="1"/>
  <c r="DZ14" i="1"/>
  <c r="BU10" i="1"/>
  <c r="BU12" i="1"/>
  <c r="BT11" i="1"/>
  <c r="BK21" i="1"/>
  <c r="EM11" i="1"/>
  <c r="BS21" i="1"/>
  <c r="BQ15" i="1"/>
  <c r="BN20" i="1"/>
  <c r="EE17" i="1"/>
  <c r="BS7" i="1"/>
  <c r="BQ12" i="1"/>
  <c r="BR20" i="1"/>
  <c r="BT13" i="1"/>
  <c r="BJ14" i="1"/>
  <c r="BU8" i="1"/>
  <c r="BZ16" i="1"/>
  <c r="BP7" i="1"/>
  <c r="BN10" i="1"/>
  <c r="BV16" i="1"/>
  <c r="BU9" i="1"/>
  <c r="BR7" i="1"/>
  <c r="BV7" i="1"/>
  <c r="BQ21" i="1"/>
  <c r="BN15" i="1"/>
  <c r="BQ16" i="1"/>
  <c r="CA8" i="1"/>
  <c r="BX8" i="1"/>
  <c r="BL14" i="1"/>
  <c r="EA9" i="1"/>
  <c r="BT17" i="1"/>
  <c r="BO12" i="1"/>
  <c r="BM12" i="1"/>
  <c r="EC17" i="1"/>
  <c r="EH21" i="1"/>
  <c r="EC14" i="1"/>
  <c r="DX9" i="1"/>
  <c r="EI21" i="1"/>
  <c r="EE20" i="1"/>
  <c r="DZ15" i="1"/>
  <c r="EL9" i="1"/>
  <c r="EJ13" i="1"/>
  <c r="DX10" i="1"/>
  <c r="EN17" i="1"/>
  <c r="DX14" i="1"/>
  <c r="EH17" i="1"/>
  <c r="EI14" i="1"/>
  <c r="EH20" i="1"/>
  <c r="EM10" i="1"/>
  <c r="DZ10" i="1"/>
  <c r="EH15" i="1"/>
  <c r="EN15" i="1"/>
  <c r="EJ9" i="1"/>
  <c r="DX20" i="1"/>
  <c r="DW17" i="1"/>
  <c r="DW21" i="1"/>
  <c r="BU21" i="1"/>
  <c r="BK15" i="1"/>
  <c r="BW11" i="1"/>
  <c r="EK17" i="1"/>
  <c r="BZ8" i="1"/>
  <c r="BV12" i="1"/>
  <c r="BX21" i="1"/>
  <c r="BU11" i="1"/>
  <c r="BV11" i="1"/>
  <c r="BQ8" i="1"/>
  <c r="BV20" i="1"/>
  <c r="BN14" i="1"/>
  <c r="BJ21" i="1"/>
  <c r="BO13" i="1"/>
  <c r="BP8" i="1"/>
  <c r="CA7" i="1"/>
  <c r="BL15" i="1"/>
  <c r="BV14" i="1"/>
  <c r="BX20" i="1"/>
  <c r="BN13" i="1"/>
  <c r="CA17" i="1"/>
  <c r="BP12" i="1"/>
  <c r="BT7" i="1"/>
  <c r="BP20" i="1"/>
  <c r="BS17" i="1"/>
  <c r="EI12" i="1"/>
  <c r="EA12" i="1"/>
  <c r="EN9" i="1"/>
  <c r="EM9" i="1"/>
  <c r="EB16" i="1"/>
  <c r="EK14" i="1"/>
  <c r="EI15" i="1"/>
  <c r="DX13" i="1"/>
  <c r="EN20" i="1"/>
  <c r="DY9" i="1"/>
  <c r="EJ15" i="1"/>
  <c r="ED20" i="1"/>
  <c r="EB14" i="1"/>
  <c r="DX12" i="1"/>
  <c r="EH8" i="1"/>
  <c r="EL13" i="1"/>
  <c r="EJ8" i="1"/>
  <c r="EK21" i="1"/>
  <c r="EF17" i="1"/>
  <c r="DY10" i="1"/>
  <c r="EN12" i="1"/>
  <c r="EN7" i="1"/>
  <c r="EG14" i="1"/>
  <c r="EF16" i="1"/>
  <c r="EM17" i="1"/>
  <c r="EE7" i="1"/>
  <c r="ED12" i="1"/>
  <c r="DZ20" i="1"/>
  <c r="EL15" i="1"/>
  <c r="BW16" i="1"/>
  <c r="EC9" i="1"/>
  <c r="BT12" i="1"/>
  <c r="CA10" i="1"/>
  <c r="EI17" i="1"/>
  <c r="BX13" i="1"/>
  <c r="BK17" i="1"/>
  <c r="ED17" i="1"/>
  <c r="BO14" i="1"/>
  <c r="BM8" i="1"/>
  <c r="BN21" i="1"/>
  <c r="BX12" i="1"/>
  <c r="BY14" i="1"/>
  <c r="CA15" i="1"/>
  <c r="BN8" i="1"/>
  <c r="BU13" i="1"/>
  <c r="BY16" i="1"/>
  <c r="BM16" i="1"/>
  <c r="BW21" i="1"/>
  <c r="BO17" i="1"/>
  <c r="BS16" i="1"/>
  <c r="CA20" i="1"/>
  <c r="BO15" i="1"/>
  <c r="BZ10" i="1"/>
  <c r="BQ13" i="1"/>
  <c r="BJ15" i="1"/>
  <c r="BO20" i="1"/>
  <c r="BQ17" i="1"/>
  <c r="BP13" i="1"/>
  <c r="BQ7" i="1"/>
  <c r="BY20" i="1"/>
  <c r="BR14" i="1"/>
  <c r="BJ12" i="1"/>
  <c r="BV17" i="1"/>
  <c r="BM15" i="1"/>
  <c r="CA21" i="1"/>
  <c r="BZ17" i="1"/>
  <c r="EE8" i="1"/>
  <c r="EJ11" i="1"/>
  <c r="EB15" i="1"/>
  <c r="DY16" i="1"/>
  <c r="EE16" i="1"/>
  <c r="EM16" i="1"/>
  <c r="EK9" i="1"/>
  <c r="EC10" i="1"/>
  <c r="EJ10" i="1"/>
  <c r="EI11" i="1"/>
  <c r="EI20" i="1"/>
  <c r="ED8" i="1"/>
  <c r="EA16" i="1"/>
  <c r="EK7" i="1"/>
  <c r="EJ7" i="1"/>
  <c r="EG17" i="1"/>
  <c r="EI10" i="1"/>
  <c r="EF14" i="1"/>
  <c r="DY17" i="1"/>
  <c r="EG13" i="1"/>
  <c r="DY20" i="1"/>
  <c r="EI8" i="1"/>
  <c r="EJ21" i="1"/>
  <c r="EF7" i="1"/>
  <c r="EA13" i="1"/>
  <c r="BZ20" i="1"/>
  <c r="BY15" i="1"/>
  <c r="EF9" i="1"/>
  <c r="BL12" i="1"/>
  <c r="BY10" i="1"/>
  <c r="BQ9" i="1"/>
  <c r="BP14" i="1"/>
  <c r="BQ20" i="1"/>
  <c r="BQ14" i="1"/>
  <c r="BT14" i="1"/>
  <c r="BZ21" i="1"/>
  <c r="BM21" i="1"/>
  <c r="BT9" i="1"/>
  <c r="BS10" i="1"/>
  <c r="BK11" i="1"/>
  <c r="BM9" i="1"/>
  <c r="BQ11" i="1"/>
  <c r="BY13" i="1"/>
  <c r="BZ15" i="1"/>
  <c r="BK10" i="1"/>
  <c r="BM20" i="1"/>
  <c r="BP16" i="1"/>
  <c r="CA13" i="1"/>
  <c r="BS14" i="1"/>
  <c r="BJ17" i="1"/>
  <c r="BW15" i="1"/>
  <c r="CA16" i="1"/>
  <c r="BP10" i="1"/>
  <c r="BV10" i="1"/>
  <c r="EB11" i="1"/>
  <c r="BW7" i="1"/>
  <c r="BY17" i="1"/>
  <c r="BL17" i="1"/>
  <c r="BV9" i="1"/>
  <c r="BI21" i="1"/>
  <c r="DY11" i="1"/>
  <c r="DZ13" i="1"/>
  <c r="EE21" i="1"/>
  <c r="EB21" i="1"/>
  <c r="DV20" i="1"/>
  <c r="EJ20" i="1"/>
  <c r="EC13" i="1"/>
  <c r="ED21" i="1"/>
  <c r="ED15" i="1"/>
  <c r="EH9" i="1"/>
  <c r="EA21" i="1"/>
  <c r="EG8" i="1"/>
  <c r="EN13" i="1"/>
  <c r="EE14" i="1"/>
  <c r="EH16" i="1"/>
  <c r="EA15" i="1"/>
  <c r="EL8" i="1"/>
  <c r="DZ16" i="1"/>
  <c r="EL10" i="1"/>
  <c r="EE9" i="1"/>
  <c r="EN11" i="1"/>
  <c r="EK11" i="1"/>
  <c r="EG21" i="1"/>
  <c r="DW20" i="1"/>
  <c r="EM15" i="1"/>
  <c r="DW15" i="1"/>
  <c r="EH10" i="1"/>
  <c r="BU15" i="1"/>
  <c r="BN9" i="1"/>
  <c r="BR9" i="1"/>
  <c r="BP9" i="1"/>
  <c r="BI17" i="1"/>
  <c r="DV17" i="1"/>
  <c r="DV15" i="1"/>
  <c r="DW10" i="1"/>
  <c r="DW11" i="1"/>
  <c r="DW9" i="1"/>
  <c r="EC7" i="1"/>
  <c r="BO7" i="1"/>
  <c r="BL8" i="1"/>
  <c r="BJ10" i="1"/>
  <c r="DY8" i="1"/>
  <c r="EB7" i="1"/>
  <c r="BN7" i="1"/>
  <c r="BJ11" i="1"/>
  <c r="DV7" i="1"/>
  <c r="BI12" i="1"/>
  <c r="BJ9" i="1"/>
  <c r="BI11" i="1"/>
  <c r="BI7" i="1"/>
  <c r="BJ8" i="1"/>
  <c r="DV13" i="1"/>
  <c r="BK8" i="1"/>
  <c r="DV12" i="1"/>
  <c r="BI10" i="1"/>
  <c r="BI14" i="1"/>
  <c r="DY7" i="1"/>
  <c r="BI9" i="1"/>
  <c r="BI8" i="1"/>
  <c r="BI15" i="1"/>
  <c r="DW16" i="1"/>
  <c r="DV9" i="1"/>
  <c r="BK7" i="1"/>
  <c r="BJ16" i="1"/>
  <c r="EA7" i="1"/>
  <c r="DV11" i="1"/>
  <c r="DV8" i="1"/>
  <c r="DW8" i="1"/>
  <c r="DX7" i="1"/>
  <c r="BJ7" i="1"/>
  <c r="DV14" i="1"/>
  <c r="DW7" i="1"/>
  <c r="BI16" i="1"/>
  <c r="BM7" i="1"/>
  <c r="BI13" i="1"/>
  <c r="DV10" i="1"/>
  <c r="DZ7" i="1"/>
  <c r="BL7" i="1"/>
  <c r="DV16" i="1"/>
  <c r="DX8" i="1"/>
  <c r="EO19" i="1" l="1"/>
  <c r="CI19" i="1" s="1"/>
  <c r="CH18" i="1"/>
  <c r="CH19" i="1"/>
  <c r="EO18" i="1"/>
  <c r="CI18" i="1" s="1"/>
  <c r="CB19" i="1"/>
  <c r="CD19" i="1" s="1"/>
  <c r="CB18" i="1"/>
  <c r="CD18" i="1" s="1"/>
  <c r="U18" i="1"/>
  <c r="U19" i="1"/>
  <c r="EP19" i="1"/>
  <c r="EQ19" i="1"/>
  <c r="U17" i="1"/>
  <c r="CH20" i="1"/>
  <c r="EO21" i="1"/>
  <c r="EO20" i="1"/>
  <c r="CH21" i="1"/>
  <c r="EO15" i="1"/>
  <c r="U20" i="1"/>
  <c r="EO17" i="1"/>
  <c r="CB17" i="1"/>
  <c r="EO12" i="1"/>
  <c r="CB14" i="1"/>
  <c r="U21" i="1"/>
  <c r="CB12" i="1"/>
  <c r="CH13" i="1"/>
  <c r="CB20" i="1"/>
  <c r="CB21" i="1"/>
  <c r="CH17" i="1"/>
  <c r="CH15" i="1"/>
  <c r="CB10" i="1"/>
  <c r="CB11" i="1"/>
  <c r="CH12" i="1"/>
  <c r="U12" i="1"/>
  <c r="U14" i="1"/>
  <c r="U11" i="1"/>
  <c r="CH7" i="1"/>
  <c r="U10" i="1"/>
  <c r="EO13" i="1"/>
  <c r="CB7" i="1"/>
  <c r="CH10" i="1"/>
  <c r="EO10" i="1"/>
  <c r="CH9" i="1"/>
  <c r="EO9" i="1"/>
  <c r="U13" i="1"/>
  <c r="CB13" i="1"/>
  <c r="CH8" i="1"/>
  <c r="EO8" i="1"/>
  <c r="EO7" i="1"/>
  <c r="CH11" i="1"/>
  <c r="EO11" i="1"/>
  <c r="U16" i="1"/>
  <c r="CB16" i="1"/>
  <c r="U7" i="1"/>
  <c r="CB15" i="1"/>
  <c r="U15" i="1"/>
  <c r="CH16" i="1"/>
  <c r="EO16" i="1"/>
  <c r="EO14" i="1"/>
  <c r="CH14" i="1"/>
  <c r="U8" i="1"/>
  <c r="CB8" i="1"/>
  <c r="U9" i="1"/>
  <c r="CB9" i="1"/>
  <c r="EQ18" i="1" l="1"/>
  <c r="EP18" i="1"/>
  <c r="CB22" i="1" a="1"/>
  <c r="CB22" i="1" s="1"/>
  <c r="CC20" i="1" s="1"/>
  <c r="V20" i="1" s="1"/>
  <c r="CH22" i="1"/>
  <c r="EO22" i="1" a="1"/>
  <c r="EO22" i="1" s="1"/>
  <c r="EP14" i="1" s="1"/>
  <c r="CI14" i="1" s="1"/>
  <c r="CC19" i="1" l="1"/>
  <c r="V19" i="1" s="1"/>
  <c r="CC18" i="1"/>
  <c r="V18" i="1" s="1"/>
  <c r="CC21" i="1"/>
  <c r="V21" i="1" s="1"/>
  <c r="EP20" i="1"/>
  <c r="CI20" i="1" s="1"/>
  <c r="CC17" i="1"/>
  <c r="V17" i="1" s="1"/>
  <c r="EP17" i="1"/>
  <c r="CI17" i="1" s="1"/>
  <c r="EP13" i="1"/>
  <c r="EP9" i="1"/>
  <c r="EP11" i="1"/>
  <c r="EP15" i="1"/>
  <c r="EP10" i="1"/>
  <c r="CC16" i="1"/>
  <c r="EP8" i="1"/>
  <c r="EP21" i="1"/>
  <c r="CI21" i="1" s="1"/>
  <c r="EP16" i="1"/>
  <c r="EP7" i="1"/>
  <c r="EP12" i="1"/>
  <c r="EP22" i="1" l="1"/>
  <c r="EV22" i="1" l="1"/>
  <c r="CD13" i="1"/>
  <c r="EQ13" i="1"/>
  <c r="CD14" i="1"/>
  <c r="EQ14" i="1"/>
  <c r="CD21" i="1"/>
  <c r="EQ21" i="1"/>
  <c r="CD16" i="1"/>
  <c r="EQ16" i="1"/>
  <c r="CD12" i="1"/>
  <c r="EQ12" i="1"/>
  <c r="CD15" i="1"/>
  <c r="EQ15" i="1"/>
  <c r="CD17" i="1"/>
  <c r="EQ17" i="1"/>
  <c r="CD11" i="1"/>
  <c r="EQ11" i="1"/>
  <c r="CD7" i="1"/>
  <c r="EQ7" i="1"/>
  <c r="CD8" i="1"/>
  <c r="EQ8" i="1"/>
  <c r="CD9" i="1"/>
  <c r="EQ9" i="1"/>
  <c r="CD10" i="1"/>
  <c r="EQ10" i="1"/>
  <c r="CD20" i="1"/>
  <c r="EQ20" i="1"/>
  <c r="C22" i="1"/>
  <c r="D19" i="1" l="1"/>
  <c r="E19" i="1" s="1"/>
  <c r="D18" i="1"/>
  <c r="E18" i="1" s="1"/>
  <c r="CE18" i="1"/>
  <c r="CE19" i="1"/>
  <c r="ER18" i="1"/>
  <c r="ER19" i="1"/>
  <c r="ER10" i="1"/>
  <c r="CI10" i="1" s="1"/>
  <c r="ER11" i="1"/>
  <c r="CI11" i="1" s="1"/>
  <c r="ER16" i="1"/>
  <c r="CI16" i="1" s="1"/>
  <c r="ER8" i="1"/>
  <c r="CI8" i="1" s="1"/>
  <c r="ER9" i="1"/>
  <c r="CI9" i="1" s="1"/>
  <c r="ER21" i="1"/>
  <c r="ER17" i="1"/>
  <c r="ER14" i="1"/>
  <c r="ER15" i="1"/>
  <c r="CI15" i="1" s="1"/>
  <c r="ER20" i="1"/>
  <c r="ER12" i="1"/>
  <c r="CI12" i="1" s="1"/>
  <c r="ER13" i="1"/>
  <c r="CI13" i="1" s="1"/>
  <c r="ER7" i="1"/>
  <c r="CI7" i="1" s="1"/>
  <c r="D11" i="1"/>
  <c r="ES11" i="1" s="1"/>
  <c r="H11" i="1" s="1"/>
  <c r="D12" i="1"/>
  <c r="ES12" i="1" s="1"/>
  <c r="H12" i="1" s="1"/>
  <c r="D13" i="1"/>
  <c r="D15" i="1"/>
  <c r="E15" i="1" s="1"/>
  <c r="D8" i="1"/>
  <c r="E8" i="1" s="1"/>
  <c r="D16" i="1"/>
  <c r="ES16" i="1" s="1"/>
  <c r="H16" i="1" s="1"/>
  <c r="D9" i="1"/>
  <c r="D17" i="1"/>
  <c r="D10" i="1"/>
  <c r="ES10" i="1" s="1"/>
  <c r="H10" i="1" s="1"/>
  <c r="D20" i="1"/>
  <c r="D21" i="1"/>
  <c r="ES21" i="1" s="1"/>
  <c r="D14" i="1"/>
  <c r="ES14" i="1" s="1"/>
  <c r="H14" i="1" s="1"/>
  <c r="D7" i="1"/>
  <c r="E7" i="1" s="1"/>
  <c r="L18" i="1" l="1"/>
  <c r="M18" i="1" s="1"/>
  <c r="L19" i="1"/>
  <c r="M19" i="1" s="1"/>
  <c r="CF19" i="1"/>
  <c r="CF18" i="1"/>
  <c r="ES19" i="1"/>
  <c r="ES18" i="1"/>
  <c r="E12" i="1"/>
  <c r="E14" i="1"/>
  <c r="CI22" i="1"/>
  <c r="L13" i="1"/>
  <c r="M13" i="1" s="1"/>
  <c r="ES13" i="1"/>
  <c r="H13" i="1" s="1"/>
  <c r="E13" i="1"/>
  <c r="E17" i="1"/>
  <c r="ES17" i="1"/>
  <c r="H17" i="1" s="1"/>
  <c r="E9" i="1"/>
  <c r="ES9" i="1"/>
  <c r="H9" i="1" s="1"/>
  <c r="E21" i="1"/>
  <c r="E20" i="1"/>
  <c r="ES20" i="1"/>
  <c r="E11" i="1"/>
  <c r="L7" i="1"/>
  <c r="M7" i="1" s="1"/>
  <c r="ES7" i="1"/>
  <c r="H7" i="1" s="1"/>
  <c r="L8" i="1"/>
  <c r="M8" i="1" s="1"/>
  <c r="ES8" i="1"/>
  <c r="H8" i="1" s="1"/>
  <c r="L15" i="1"/>
  <c r="M15" i="1" s="1"/>
  <c r="ES15" i="1"/>
  <c r="H15" i="1" s="1"/>
  <c r="L17" i="1"/>
  <c r="E16" i="1"/>
  <c r="L16" i="1"/>
  <c r="L9" i="1"/>
  <c r="L14" i="1"/>
  <c r="L21" i="1"/>
  <c r="L20" i="1"/>
  <c r="L12" i="1"/>
  <c r="E10" i="1"/>
  <c r="L10" i="1"/>
  <c r="L11" i="1"/>
  <c r="AC28" i="1" a="1"/>
  <c r="AC28" i="1" s="1"/>
  <c r="H19" i="1" l="1"/>
  <c r="H18" i="1"/>
  <c r="G19" i="1"/>
  <c r="G18" i="1"/>
  <c r="H20" i="1"/>
  <c r="H21" i="1"/>
  <c r="ES22" i="1"/>
  <c r="M12" i="1"/>
  <c r="M17" i="1"/>
  <c r="M20" i="1"/>
  <c r="M21" i="1"/>
  <c r="M14" i="1"/>
  <c r="M9" i="1"/>
  <c r="M10" i="1"/>
  <c r="M16" i="1"/>
  <c r="L22" i="1"/>
  <c r="M11" i="1"/>
  <c r="CF20" i="1"/>
  <c r="G20" i="1" s="1"/>
  <c r="CF16" i="1"/>
  <c r="G16" i="1" s="1"/>
  <c r="CF17" i="1"/>
  <c r="G17" i="1" s="1"/>
  <c r="CF21" i="1"/>
  <c r="CF14" i="1"/>
  <c r="G14" i="1" s="1"/>
  <c r="CF12" i="1"/>
  <c r="G12" i="1" s="1"/>
  <c r="CF8" i="1"/>
  <c r="G8" i="1" s="1"/>
  <c r="CF9" i="1"/>
  <c r="G9" i="1" s="1"/>
  <c r="CF15" i="1"/>
  <c r="G15" i="1" s="1"/>
  <c r="CF13" i="1"/>
  <c r="G13" i="1" s="1"/>
  <c r="CF10" i="1"/>
  <c r="G10" i="1" s="1"/>
  <c r="CF11" i="1"/>
  <c r="G11" i="1" s="1"/>
  <c r="D22" i="1"/>
  <c r="N18" i="1" l="1"/>
  <c r="N19" i="1"/>
  <c r="G21" i="1"/>
  <c r="CF7" i="1"/>
  <c r="G7" i="1" s="1"/>
  <c r="CC15" i="1"/>
  <c r="CC11" i="1"/>
  <c r="CC8" i="1"/>
  <c r="CC9" i="1"/>
  <c r="CC13" i="1"/>
  <c r="M22" i="1"/>
  <c r="O19" i="1" s="1"/>
  <c r="CC7" i="1"/>
  <c r="CE9" i="1"/>
  <c r="CE20" i="1"/>
  <c r="CE16" i="1"/>
  <c r="V16" i="1" s="1"/>
  <c r="CE12" i="1"/>
  <c r="CE21" i="1"/>
  <c r="CE7" i="1"/>
  <c r="CE10" i="1"/>
  <c r="CE15" i="1"/>
  <c r="CE8" i="1"/>
  <c r="CE17" i="1"/>
  <c r="CE14" i="1"/>
  <c r="CE11" i="1"/>
  <c r="CE13" i="1"/>
  <c r="U22" i="1"/>
  <c r="CC10" i="1"/>
  <c r="CC12" i="1"/>
  <c r="V12" i="1" s="1"/>
  <c r="CC14" i="1"/>
  <c r="N11" i="1"/>
  <c r="N20" i="1"/>
  <c r="N8" i="1"/>
  <c r="N12" i="1"/>
  <c r="N17" i="1"/>
  <c r="N10" i="1"/>
  <c r="N16" i="1"/>
  <c r="N13" i="1"/>
  <c r="N15" i="1"/>
  <c r="N9" i="1"/>
  <c r="N21" i="1"/>
  <c r="N7" i="1"/>
  <c r="N14" i="1"/>
  <c r="P19" i="1" l="1"/>
  <c r="O18" i="1"/>
  <c r="P18" i="1" s="1"/>
  <c r="V11" i="1"/>
  <c r="V8" i="1"/>
  <c r="V7" i="1"/>
  <c r="V14" i="1"/>
  <c r="O10" i="1"/>
  <c r="P10" i="1" s="1"/>
  <c r="CF22" i="1"/>
  <c r="V10" i="1"/>
  <c r="O7" i="1"/>
  <c r="P7" i="1" s="1"/>
  <c r="O9" i="1"/>
  <c r="P9" i="1" s="1"/>
  <c r="V13" i="1"/>
  <c r="V15" i="1"/>
  <c r="V9" i="1"/>
  <c r="O20" i="1"/>
  <c r="P20" i="1" s="1"/>
  <c r="O16" i="1"/>
  <c r="P16" i="1" s="1"/>
  <c r="O12" i="1"/>
  <c r="P12" i="1" s="1"/>
  <c r="O21" i="1"/>
  <c r="P21" i="1" s="1"/>
  <c r="O15" i="1"/>
  <c r="P15" i="1" s="1"/>
  <c r="O11" i="1"/>
  <c r="P11" i="1" s="1"/>
  <c r="K11" i="1" s="1"/>
  <c r="O14" i="1"/>
  <c r="P14" i="1" s="1"/>
  <c r="O17" i="1"/>
  <c r="P17" i="1" s="1"/>
  <c r="O8" i="1"/>
  <c r="P8" i="1" s="1"/>
  <c r="O13" i="1"/>
  <c r="P13" i="1" s="1"/>
  <c r="CC22" i="1"/>
  <c r="R19" i="1" l="1"/>
  <c r="J19" i="1"/>
  <c r="R18" i="1"/>
  <c r="J18" i="1"/>
  <c r="V22" i="1"/>
  <c r="P22" i="1" a="1"/>
  <c r="P22" i="1" s="1"/>
  <c r="O22" i="1"/>
  <c r="J21" i="1"/>
  <c r="J17" i="1"/>
  <c r="J12" i="1"/>
  <c r="J20" i="1"/>
  <c r="R10" i="1"/>
  <c r="J10" i="1"/>
  <c r="J15" i="1"/>
  <c r="J14" i="1"/>
  <c r="R11" i="1"/>
  <c r="J11" i="1"/>
  <c r="J16" i="1"/>
  <c r="J9" i="1"/>
  <c r="J13" i="1"/>
  <c r="J8" i="1"/>
  <c r="J7" i="1"/>
  <c r="R17" i="1"/>
  <c r="R8" i="1"/>
  <c r="R12" i="1"/>
  <c r="R21" i="1"/>
  <c r="R20" i="1"/>
  <c r="R15" i="1"/>
  <c r="R14" i="1"/>
  <c r="R16" i="1"/>
  <c r="R9" i="1"/>
  <c r="R13" i="1"/>
  <c r="R7" i="1"/>
  <c r="Q18" i="1" l="1"/>
  <c r="K18" i="1" s="1"/>
  <c r="Q19" i="1"/>
  <c r="K19" i="1" s="1"/>
  <c r="S19" i="1"/>
  <c r="S18" i="1"/>
  <c r="Q21" i="1"/>
  <c r="K21" i="1" s="1"/>
  <c r="Q17" i="1"/>
  <c r="K17" i="1" s="1"/>
  <c r="Q20" i="1"/>
  <c r="K20" i="1" s="1"/>
  <c r="Q7" i="1"/>
  <c r="Q8" i="1"/>
  <c r="K8" i="1" s="1"/>
  <c r="Q12" i="1"/>
  <c r="Q9" i="1"/>
  <c r="Q13" i="1"/>
  <c r="Q14" i="1"/>
  <c r="Q15" i="1"/>
  <c r="Q10" i="1"/>
  <c r="Q16" i="1"/>
  <c r="Q11" i="1"/>
  <c r="S9" i="1"/>
  <c r="S14" i="1"/>
  <c r="S16" i="1"/>
  <c r="S15" i="1"/>
  <c r="S20" i="1"/>
  <c r="S10" i="1"/>
  <c r="S21" i="1"/>
  <c r="S7" i="1"/>
  <c r="S12" i="1"/>
  <c r="S13" i="1"/>
  <c r="S8" i="1"/>
  <c r="S17" i="1"/>
  <c r="S11" i="1"/>
  <c r="K16" i="1" l="1"/>
  <c r="K7" i="1"/>
  <c r="K13" i="1"/>
  <c r="K12" i="1"/>
  <c r="K15" i="1"/>
  <c r="K14" i="1"/>
  <c r="K9" i="1"/>
  <c r="K10" i="1"/>
  <c r="Q22" i="1"/>
  <c r="J22" i="1"/>
  <c r="K22" i="1" l="1"/>
</calcChain>
</file>

<file path=xl/comments1.xml><?xml version="1.0" encoding="utf-8"?>
<comments xmlns="http://schemas.openxmlformats.org/spreadsheetml/2006/main">
  <authors>
    <author>Friedrich, Jan</author>
  </authors>
  <commentList>
    <comment ref="O22" authorId="0" shapeId="0">
      <text>
        <r>
          <rPr>
            <b/>
            <sz val="9"/>
            <color indexed="81"/>
            <rFont val="Segoe UI"/>
            <family val="2"/>
          </rPr>
          <t>Friedrich, Jan:</t>
        </r>
        <r>
          <rPr>
            <sz val="9"/>
            <color indexed="81"/>
            <rFont val="Segoe UI"/>
            <family val="2"/>
          </rPr>
          <t xml:space="preserve">
Summe der eindeutig (gemäß Nachkommastelle) zu vergebenden Restsitze.</t>
        </r>
      </text>
    </comment>
    <comment ref="P22" authorId="0" shapeId="0">
      <text>
        <r>
          <rPr>
            <b/>
            <sz val="9"/>
            <color indexed="81"/>
            <rFont val="Segoe UI"/>
            <family val="2"/>
          </rPr>
          <t>Friedrich, Jan:</t>
        </r>
        <r>
          <rPr>
            <sz val="9"/>
            <color indexed="81"/>
            <rFont val="Segoe UI"/>
            <family val="2"/>
          </rPr>
          <t xml:space="preserve">
Anzahl der am Patt beteiligten.</t>
        </r>
      </text>
    </comment>
    <comment ref="Q22" authorId="0" shapeId="0">
      <text>
        <r>
          <rPr>
            <b/>
            <sz val="9"/>
            <color indexed="81"/>
            <rFont val="Segoe UI"/>
            <family val="2"/>
          </rPr>
          <t>Friedrich, Jan:</t>
        </r>
        <r>
          <rPr>
            <sz val="9"/>
            <color indexed="81"/>
            <rFont val="Segoe UI"/>
            <family val="2"/>
          </rPr>
          <t xml:space="preserve">
Anzahl der erfolgreichen Lose (falls gelost werden soll)</t>
        </r>
      </text>
    </comment>
  </commentList>
</comments>
</file>

<file path=xl/sharedStrings.xml><?xml version="1.0" encoding="utf-8"?>
<sst xmlns="http://schemas.openxmlformats.org/spreadsheetml/2006/main" count="266" uniqueCount="187">
  <si>
    <t>Partei/Wählergruppe</t>
  </si>
  <si>
    <t>CSU</t>
  </si>
  <si>
    <t>GRÜNE</t>
  </si>
  <si>
    <t>AfD</t>
  </si>
  <si>
    <t>SPD</t>
  </si>
  <si>
    <t>FDP</t>
  </si>
  <si>
    <t>Größe Hauptorgan</t>
  </si>
  <si>
    <t>Ausschussgröße</t>
  </si>
  <si>
    <t>Restsitz</t>
  </si>
  <si>
    <t>Patt</t>
  </si>
  <si>
    <t>Sitze</t>
  </si>
  <si>
    <t>R1</t>
  </si>
  <si>
    <t>R3</t>
  </si>
  <si>
    <t>R5</t>
  </si>
  <si>
    <t>R7</t>
  </si>
  <si>
    <t>R9</t>
  </si>
  <si>
    <t>R11</t>
  </si>
  <si>
    <t>R13</t>
  </si>
  <si>
    <t>R15</t>
  </si>
  <si>
    <t>R17</t>
  </si>
  <si>
    <t>R19</t>
  </si>
  <si>
    <t>R21</t>
  </si>
  <si>
    <t>R23</t>
  </si>
  <si>
    <t>R25</t>
  </si>
  <si>
    <t>R27</t>
  </si>
  <si>
    <t>R29</t>
  </si>
  <si>
    <t>R31</t>
  </si>
  <si>
    <t>R33</t>
  </si>
  <si>
    <t>R35</t>
  </si>
  <si>
    <t>R37</t>
  </si>
  <si>
    <t>SP1</t>
  </si>
  <si>
    <t>SP3</t>
  </si>
  <si>
    <t>SP5</t>
  </si>
  <si>
    <t>SP7</t>
  </si>
  <si>
    <t>SP9</t>
  </si>
  <si>
    <t>SP11</t>
  </si>
  <si>
    <t>SP13</t>
  </si>
  <si>
    <t>SP15</t>
  </si>
  <si>
    <t>SP17</t>
  </si>
  <si>
    <t>SP19</t>
  </si>
  <si>
    <t>SP21</t>
  </si>
  <si>
    <t>SP23</t>
  </si>
  <si>
    <t>SP25</t>
  </si>
  <si>
    <t>SP27</t>
  </si>
  <si>
    <t>SP29</t>
  </si>
  <si>
    <t>SP31</t>
  </si>
  <si>
    <t>SP33</t>
  </si>
  <si>
    <t>SP35</t>
  </si>
  <si>
    <t>SP37</t>
  </si>
  <si>
    <t>Quotienten</t>
  </si>
  <si>
    <t>Rangzahlen</t>
  </si>
  <si>
    <t>Hare/Niemeyer</t>
  </si>
  <si>
    <t>d'Hondt</t>
  </si>
  <si>
    <t>Quoten-
kriterium</t>
  </si>
  <si>
    <t>Pattauflösung</t>
  </si>
  <si>
    <t>Stimmen</t>
  </si>
  <si>
    <t>Loserfolg</t>
  </si>
  <si>
    <t>Los-Chance</t>
  </si>
  <si>
    <t>Proporzgenaue Zahl Ausschuss</t>
  </si>
  <si>
    <t>Sitze im Hauptorgan</t>
  </si>
  <si>
    <t>:3</t>
  </si>
  <si>
    <t>:5</t>
  </si>
  <si>
    <t>:7</t>
  </si>
  <si>
    <t>:9</t>
  </si>
  <si>
    <t>:11</t>
  </si>
  <si>
    <t>:13</t>
  </si>
  <si>
    <t>:15</t>
  </si>
  <si>
    <t>:17</t>
  </si>
  <si>
    <t>:19</t>
  </si>
  <si>
    <t>:21</t>
  </si>
  <si>
    <t>:23</t>
  </si>
  <si>
    <t>:25</t>
  </si>
  <si>
    <t>:27</t>
  </si>
  <si>
    <t>:29</t>
  </si>
  <si>
    <t>:31</t>
  </si>
  <si>
    <t>:33</t>
  </si>
  <si>
    <t>:35</t>
  </si>
  <si>
    <t>:37</t>
  </si>
  <si>
    <t>S ganz</t>
  </si>
  <si>
    <t>S Rest</t>
  </si>
  <si>
    <t>Rng Rest</t>
  </si>
  <si>
    <t>Los Chance</t>
  </si>
  <si>
    <t>Stimmen/Gelost</t>
  </si>
  <si>
    <t>Pattgewinn</t>
  </si>
  <si>
    <t>Patt Auflösung</t>
  </si>
  <si>
    <t>:1</t>
  </si>
  <si>
    <t>QK verletzt</t>
  </si>
  <si>
    <t>:2</t>
  </si>
  <si>
    <t>:4</t>
  </si>
  <si>
    <t>:6</t>
  </si>
  <si>
    <t>:8</t>
  </si>
  <si>
    <t>:10</t>
  </si>
  <si>
    <t>:12</t>
  </si>
  <si>
    <t>:14</t>
  </si>
  <si>
    <t>:16</t>
  </si>
  <si>
    <t>:18</t>
  </si>
  <si>
    <t>R2</t>
  </si>
  <si>
    <t>R4</t>
  </si>
  <si>
    <t>R6</t>
  </si>
  <si>
    <t>R8</t>
  </si>
  <si>
    <t>R10</t>
  </si>
  <si>
    <t>R12</t>
  </si>
  <si>
    <t>R14</t>
  </si>
  <si>
    <t>R16</t>
  </si>
  <si>
    <t>R18</t>
  </si>
  <si>
    <t>SP2</t>
  </si>
  <si>
    <t>SP4</t>
  </si>
  <si>
    <t>SP6</t>
  </si>
  <si>
    <t>SP8</t>
  </si>
  <si>
    <t>SP10</t>
  </si>
  <si>
    <t>SP12</t>
  </si>
  <si>
    <t>SP14</t>
  </si>
  <si>
    <t>SP16</t>
  </si>
  <si>
    <t>SP18</t>
  </si>
  <si>
    <t>Patt?</t>
  </si>
  <si>
    <t>Stimmen Gelost</t>
  </si>
  <si>
    <t>Zulässig</t>
  </si>
  <si>
    <t>H/N</t>
  </si>
  <si>
    <t>SL/S</t>
  </si>
  <si>
    <t>d'H</t>
  </si>
  <si>
    <t>Partei Wählergruppe</t>
  </si>
  <si>
    <t>FREIE WÄHLER</t>
  </si>
  <si>
    <t>Gruppe / Gemeinschaft 1</t>
  </si>
  <si>
    <t>Gruppe / Gemeinschaft 2</t>
  </si>
  <si>
    <t>Gruppe / Gemeinschaft 3</t>
  </si>
  <si>
    <t>Gruppe / Gemeinschaft 4</t>
  </si>
  <si>
    <t>Gruppe / Gemeinschaft 5</t>
  </si>
  <si>
    <t>Gruppe / Gemeinschaft 6</t>
  </si>
  <si>
    <t>Gruppe / Gemeinschaft 7</t>
  </si>
  <si>
    <t>Partei</t>
  </si>
  <si>
    <t>Testfall 1</t>
  </si>
  <si>
    <t>Testfall 2</t>
  </si>
  <si>
    <t>Testfall 3</t>
  </si>
  <si>
    <t>Testfall 4</t>
  </si>
  <si>
    <t>Testfall 5</t>
  </si>
  <si>
    <t>Testfall 6</t>
  </si>
  <si>
    <t>Testfall 7</t>
  </si>
  <si>
    <t>Testfall 8</t>
  </si>
  <si>
    <t>Testfall 9</t>
  </si>
  <si>
    <t>Testfall 10</t>
  </si>
  <si>
    <t>Testfall 11</t>
  </si>
  <si>
    <t>Testfall 12</t>
  </si>
  <si>
    <t>FW</t>
  </si>
  <si>
    <t>Gruppe 1</t>
  </si>
  <si>
    <t>Gruppe 2</t>
  </si>
  <si>
    <t>Gruppe 3</t>
  </si>
  <si>
    <t>Gruppe 4</t>
  </si>
  <si>
    <t>Gruppe 5</t>
  </si>
  <si>
    <t>Gruppe 6</t>
  </si>
  <si>
    <t>Gruppe 7</t>
  </si>
  <si>
    <t>Befund Peter</t>
  </si>
  <si>
    <t>ok</t>
  </si>
  <si>
    <t>Summe</t>
  </si>
  <si>
    <t>---</t>
  </si>
  <si>
    <r>
      <t>Saint-Lagu</t>
    </r>
    <r>
      <rPr>
        <b/>
        <sz val="11"/>
        <rFont val="Calibri"/>
        <family val="2"/>
      </rPr>
      <t>ë</t>
    </r>
    <r>
      <rPr>
        <b/>
        <sz val="11"/>
        <rFont val="Calibri"/>
        <family val="2"/>
        <scheme val="minor"/>
      </rPr>
      <t>/Schepers</t>
    </r>
  </si>
  <si>
    <t>Zulässigkeit Verfahren</t>
  </si>
  <si>
    <t>Zusammensetzung Hauptorgan</t>
  </si>
  <si>
    <t>+++ In den Spalten D bis EU dürfen die Formeln nicht verändert werden da sonst der Kalkulator nicht mehr richtig rechnet+++</t>
  </si>
  <si>
    <t>Schritt 1a</t>
  </si>
  <si>
    <t>Schritt 1c</t>
  </si>
  <si>
    <t>PARTEI X</t>
  </si>
  <si>
    <t>PARTEI Y</t>
  </si>
  <si>
    <t>PARTEI Z</t>
  </si>
  <si>
    <t>Schritt 2b</t>
  </si>
  <si>
    <t>Schritt 3b</t>
  </si>
  <si>
    <r>
      <rPr>
        <b/>
        <sz val="11"/>
        <color theme="0"/>
        <rFont val="Wingdings 3"/>
        <family val="1"/>
        <charset val="2"/>
      </rPr>
      <t></t>
    </r>
    <r>
      <rPr>
        <b/>
        <i/>
        <sz val="11"/>
        <color theme="0"/>
        <rFont val="Calibri"/>
        <family val="2"/>
        <scheme val="minor"/>
      </rPr>
      <t>Schritt 1b|3a /  Schritt 2a</t>
    </r>
    <r>
      <rPr>
        <b/>
        <sz val="11"/>
        <color theme="0"/>
        <rFont val="Wingdings 3"/>
        <family val="1"/>
        <charset val="2"/>
      </rPr>
      <t></t>
    </r>
  </si>
  <si>
    <t>Dieser Service wird Ihnen bereitgestellt vom Studiengang Verwaltungsinformatik.</t>
  </si>
  <si>
    <t>Bedienungsanleitung</t>
  </si>
  <si>
    <t>Doppelklicken auf Blatt, um PDF zu öffnen…</t>
  </si>
  <si>
    <r>
      <t xml:space="preserve">    </t>
    </r>
    <r>
      <rPr>
        <b/>
        <sz val="11"/>
        <color theme="1"/>
        <rFont val="Calibri"/>
        <family val="2"/>
        <scheme val="minor"/>
      </rPr>
      <t>Ausschuss-Kalkulator für bayer. Kommunalorgane</t>
    </r>
    <r>
      <rPr>
        <sz val="11"/>
        <color theme="1"/>
        <rFont val="Calibri"/>
        <family val="2"/>
        <scheme val="minor"/>
      </rPr>
      <t xml:space="preserve">
    Copyright (C) 2019  Jan Friedrich und Peter Raithel
    (Hochschullehrer an der Hochschule für den öffentlichen Dienst in Bayern)
    This program is free software: you can redistribute it and/or modify
    it under the terms of the GNU General Public License as published by
    the Free Software Foundation, either version 3 of the License, or
    (at your option) any later version.
    This program is distributed in the hope that it will be useful,
    but WITHOUT ANY WARRANTY; without even the implied warranty of
    MERCHANTABILITY or FITNESS FOR A PARTICULAR PURPOSE.  See the
    GNU General Public License for more details.
    You should have received a copy of the GNU General Public License
    along with this program.  If not, see https://www.gnu.org/licenses.</t>
    </r>
  </si>
  <si>
    <t>Bei Fragen und zur Meldung von Fehlern wenden Sie sich bitte an verwaltungsinformatik@aiv.hfoed.de</t>
  </si>
  <si>
    <t>Wählergruppe A</t>
  </si>
  <si>
    <t>Wählergruppe B</t>
  </si>
  <si>
    <t>Wählergruppe C</t>
  </si>
  <si>
    <t>Wählergruppe D</t>
  </si>
  <si>
    <t>Ausschussgemeinschaft F</t>
  </si>
  <si>
    <t>Ausschussgemeinschaft E</t>
  </si>
  <si>
    <t>Mittelwert</t>
  </si>
  <si>
    <t>Ergebnis</t>
  </si>
  <si>
    <t>Anzahl</t>
  </si>
  <si>
    <t>Version</t>
  </si>
  <si>
    <t>Veröffentlicht</t>
  </si>
  <si>
    <t>Bemerkung</t>
  </si>
  <si>
    <t>2.0</t>
  </si>
  <si>
    <t>Erste öffentliche Version</t>
  </si>
  <si>
    <t>2.0.1</t>
  </si>
  <si>
    <t>Erweiterung von 13 auf 15 Zeilen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</si>
</sst>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7">
    <numFmt numFmtId="164" formatCode="0.0%"/>
    <numFmt numFmtId="165" formatCode="0;;"/>
    <numFmt numFmtId="166" formatCode="0&quot;.&quot;"/>
    <numFmt numFmtId="167" formatCode="&quot;:&quot;0"/>
    <numFmt numFmtId="168" formatCode=".0000"/>
    <numFmt numFmtId="169" formatCode=";;;"/>
    <numFmt numFmtId="170" formatCode="#.00"/>
  </numFmts>
  <fonts count="21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1"/>
      <color theme="1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9"/>
      <color indexed="81"/>
      <name val="Segoe UI"/>
      <family val="2"/>
    </font>
    <font>
      <b/>
      <sz val="9"/>
      <color indexed="81"/>
      <name val="Segoe UI"/>
      <family val="2"/>
    </font>
    <font>
      <b/>
      <sz val="11"/>
      <name val="Calibri"/>
      <family val="2"/>
      <scheme val="minor"/>
    </font>
    <font>
      <b/>
      <sz val="11"/>
      <name val="Calibri"/>
      <family val="2"/>
    </font>
    <font>
      <sz val="11"/>
      <color rgb="FFFFFF00"/>
      <name val="Calibri"/>
      <family val="2"/>
      <scheme val="minor"/>
    </font>
    <font>
      <b/>
      <sz val="11"/>
      <color rgb="FFFFFF00"/>
      <name val="Calibri"/>
      <family val="2"/>
      <scheme val="minor"/>
    </font>
    <font>
      <b/>
      <sz val="11"/>
      <color rgb="FF0070C0"/>
      <name val="Calibri"/>
      <family val="2"/>
      <scheme val="minor"/>
    </font>
    <font>
      <b/>
      <i/>
      <sz val="11"/>
      <color theme="0"/>
      <name val="Calibri"/>
      <family val="2"/>
      <scheme val="minor"/>
    </font>
    <font>
      <b/>
      <sz val="11"/>
      <color theme="0"/>
      <name val="Wingdings 3"/>
      <family val="1"/>
      <charset val="2"/>
    </font>
    <font>
      <u/>
      <sz val="11"/>
      <color theme="10"/>
      <name val="Calibri"/>
      <family val="2"/>
      <scheme val="minor"/>
    </font>
    <font>
      <b/>
      <u/>
      <sz val="11"/>
      <color theme="10"/>
      <name val="Calibri"/>
      <family val="2"/>
      <scheme val="minor"/>
    </font>
    <font>
      <sz val="11"/>
      <color theme="1"/>
      <name val="Calibri"/>
      <scheme val="minor"/>
    </font>
    <font>
      <b/>
      <sz val="11"/>
      <color theme="1"/>
      <name val="Calibri"/>
      <scheme val="minor"/>
    </font>
    <font>
      <b/>
      <i/>
      <sz val="11"/>
      <color rgb="FF7F7F7F"/>
      <name val="Calibri"/>
      <scheme val="minor"/>
    </font>
    <font>
      <b/>
      <sz val="11"/>
      <color rgb="FF3F3F76"/>
      <name val="Calibri"/>
      <scheme val="minor"/>
    </font>
  </fonts>
  <fills count="11">
    <fill>
      <patternFill patternType="none"/>
    </fill>
    <fill>
      <patternFill patternType="gray125"/>
    </fill>
    <fill>
      <patternFill patternType="solid">
        <fgColor theme="4"/>
        <bgColor theme="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5"/>
        <bgColor theme="5"/>
      </patternFill>
    </fill>
    <fill>
      <patternFill patternType="solid">
        <fgColor theme="8"/>
        <bgColor theme="8"/>
      </patternFill>
    </fill>
    <fill>
      <patternFill patternType="solid">
        <fgColor theme="6"/>
        <bgColor theme="6"/>
      </patternFill>
    </fill>
    <fill>
      <patternFill patternType="solid">
        <fgColor rgb="FFFF00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0070C0"/>
        <bgColor indexed="64"/>
      </patternFill>
    </fill>
  </fills>
  <borders count="24">
    <border>
      <left/>
      <right/>
      <top/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 style="medium">
        <color indexed="64"/>
      </right>
      <top style="medium">
        <color theme="1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theme="1"/>
      </bottom>
      <diagonal/>
    </border>
    <border>
      <left/>
      <right style="medium">
        <color indexed="64"/>
      </right>
      <top style="medium">
        <color indexed="64"/>
      </top>
      <bottom style="medium">
        <color theme="1"/>
      </bottom>
      <diagonal/>
    </border>
    <border>
      <left/>
      <right/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theme="1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auto="1"/>
      </top>
      <bottom style="medium">
        <color auto="1"/>
      </bottom>
      <diagonal/>
    </border>
  </borders>
  <cellStyleXfs count="5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0" fontId="12" fillId="9" borderId="0" applyFill="0" applyBorder="0" applyAlignment="0" applyProtection="0"/>
    <xf numFmtId="0" fontId="15" fillId="0" borderId="0" applyNumberFormat="0" applyFill="0" applyBorder="0" applyAlignment="0" applyProtection="0"/>
  </cellStyleXfs>
  <cellXfs count="138">
    <xf numFmtId="0" fontId="0" fillId="0" borderId="0" xfId="0"/>
    <xf numFmtId="0" fontId="0" fillId="3" borderId="0" xfId="0" applyFill="1"/>
    <xf numFmtId="0" fontId="0" fillId="0" borderId="0" xfId="0" applyAlignment="1">
      <alignment vertical="center" wrapText="1"/>
    </xf>
    <xf numFmtId="0" fontId="0" fillId="3" borderId="0" xfId="0" applyFill="1" applyProtection="1"/>
    <xf numFmtId="0" fontId="0" fillId="0" borderId="0" xfId="0" applyProtection="1"/>
    <xf numFmtId="0" fontId="0" fillId="3" borderId="0" xfId="0" applyFill="1" applyBorder="1" applyProtection="1"/>
    <xf numFmtId="167" fontId="2" fillId="2" borderId="15" xfId="0" applyNumberFormat="1" applyFont="1" applyFill="1" applyBorder="1" applyAlignment="1" applyProtection="1">
      <alignment horizontal="center" wrapText="1"/>
    </xf>
    <xf numFmtId="167" fontId="2" fillId="4" borderId="15" xfId="0" applyNumberFormat="1" applyFont="1" applyFill="1" applyBorder="1" applyAlignment="1" applyProtection="1">
      <alignment wrapText="1"/>
    </xf>
    <xf numFmtId="0" fontId="0" fillId="3" borderId="0" xfId="0" applyFill="1" applyAlignment="1" applyProtection="1">
      <alignment wrapText="1"/>
    </xf>
    <xf numFmtId="0" fontId="10" fillId="0" borderId="0" xfId="0" applyFont="1" applyFill="1" applyBorder="1" applyAlignment="1" applyProtection="1">
      <alignment wrapText="1"/>
    </xf>
    <xf numFmtId="0" fontId="5" fillId="0" borderId="0" xfId="0" applyFont="1" applyFill="1" applyBorder="1" applyAlignment="1" applyProtection="1">
      <alignment horizontal="center" wrapText="1"/>
    </xf>
    <xf numFmtId="0" fontId="2" fillId="5" borderId="4" xfId="0" applyFont="1" applyFill="1" applyBorder="1" applyAlignment="1" applyProtection="1">
      <alignment horizontal="center" vertical="center" wrapText="1"/>
    </xf>
    <xf numFmtId="167" fontId="2" fillId="2" borderId="4" xfId="0" applyNumberFormat="1" applyFont="1" applyFill="1" applyBorder="1" applyAlignment="1" applyProtection="1">
      <alignment horizontal="center" vertical="center" wrapText="1"/>
    </xf>
    <xf numFmtId="0" fontId="2" fillId="0" borderId="7" xfId="0" applyFont="1" applyFill="1" applyBorder="1" applyAlignment="1" applyProtection="1">
      <alignment wrapText="1"/>
    </xf>
    <xf numFmtId="0" fontId="2" fillId="0" borderId="8" xfId="0" applyFont="1" applyFill="1" applyBorder="1" applyAlignment="1" applyProtection="1">
      <alignment wrapText="1"/>
    </xf>
    <xf numFmtId="0" fontId="2" fillId="0" borderId="5" xfId="0" applyFont="1" applyFill="1" applyBorder="1" applyAlignment="1" applyProtection="1">
      <alignment wrapText="1"/>
    </xf>
    <xf numFmtId="0" fontId="2" fillId="0" borderId="6" xfId="0" applyFont="1" applyFill="1" applyBorder="1" applyAlignment="1" applyProtection="1">
      <alignment wrapText="1"/>
    </xf>
    <xf numFmtId="167" fontId="2" fillId="0" borderId="7" xfId="0" applyNumberFormat="1" applyFont="1" applyFill="1" applyBorder="1" applyAlignment="1" applyProtection="1">
      <alignment horizontal="right" wrapText="1"/>
    </xf>
    <xf numFmtId="167" fontId="2" fillId="0" borderId="11" xfId="0" applyNumberFormat="1" applyFont="1" applyFill="1" applyBorder="1" applyAlignment="1" applyProtection="1">
      <alignment wrapText="1"/>
    </xf>
    <xf numFmtId="167" fontId="2" fillId="0" borderId="0" xfId="0" applyNumberFormat="1" applyFont="1" applyFill="1" applyBorder="1" applyAlignment="1" applyProtection="1">
      <alignment horizontal="right" wrapText="1"/>
    </xf>
    <xf numFmtId="167" fontId="2" fillId="0" borderId="11" xfId="0" applyNumberFormat="1" applyFont="1" applyFill="1" applyBorder="1" applyAlignment="1" applyProtection="1">
      <alignment horizontal="right" wrapText="1"/>
    </xf>
    <xf numFmtId="0" fontId="2" fillId="0" borderId="7" xfId="0" applyFont="1" applyFill="1" applyBorder="1" applyAlignment="1" applyProtection="1">
      <alignment horizontal="right" wrapText="1"/>
    </xf>
    <xf numFmtId="0" fontId="2" fillId="0" borderId="0" xfId="0" applyFont="1" applyFill="1" applyBorder="1" applyAlignment="1" applyProtection="1">
      <alignment horizontal="right" wrapText="1"/>
    </xf>
    <xf numFmtId="0" fontId="2" fillId="0" borderId="8" xfId="0" applyFont="1" applyFill="1" applyBorder="1" applyAlignment="1" applyProtection="1">
      <alignment horizontal="right" wrapText="1"/>
    </xf>
    <xf numFmtId="0" fontId="2" fillId="0" borderId="7" xfId="0" applyFont="1" applyFill="1" applyBorder="1" applyAlignment="1" applyProtection="1">
      <alignment horizontal="center" wrapText="1"/>
    </xf>
    <xf numFmtId="0" fontId="2" fillId="0" borderId="16" xfId="0" applyFont="1" applyFill="1" applyBorder="1" applyAlignment="1" applyProtection="1">
      <alignment wrapText="1"/>
    </xf>
    <xf numFmtId="167" fontId="2" fillId="0" borderId="8" xfId="0" applyNumberFormat="1" applyFont="1" applyFill="1" applyBorder="1" applyAlignment="1" applyProtection="1">
      <alignment wrapText="1"/>
    </xf>
    <xf numFmtId="167" fontId="2" fillId="0" borderId="8" xfId="0" applyNumberFormat="1" applyFont="1" applyFill="1" applyBorder="1" applyAlignment="1" applyProtection="1">
      <alignment horizontal="right" wrapText="1"/>
    </xf>
    <xf numFmtId="0" fontId="2" fillId="0" borderId="0" xfId="0" applyFont="1" applyFill="1" applyBorder="1" applyAlignment="1" applyProtection="1">
      <alignment wrapText="1"/>
    </xf>
    <xf numFmtId="0" fontId="2" fillId="0" borderId="0" xfId="0" applyFont="1" applyFill="1" applyBorder="1" applyAlignment="1" applyProtection="1">
      <alignment horizontal="left" wrapText="1"/>
    </xf>
    <xf numFmtId="0" fontId="11" fillId="0" borderId="0" xfId="0" applyFont="1" applyFill="1" applyBorder="1" applyAlignment="1" applyProtection="1">
      <alignment horizontal="right" wrapText="1"/>
    </xf>
    <xf numFmtId="0" fontId="11" fillId="0" borderId="0" xfId="0" applyFont="1" applyFill="1" applyBorder="1" applyAlignment="1" applyProtection="1">
      <alignment horizontal="center" wrapText="1"/>
    </xf>
    <xf numFmtId="0" fontId="0" fillId="0" borderId="0" xfId="0" applyAlignment="1" applyProtection="1">
      <alignment wrapText="1"/>
    </xf>
    <xf numFmtId="0" fontId="0" fillId="0" borderId="0" xfId="0" applyFill="1" applyBorder="1" applyAlignment="1" applyProtection="1">
      <alignment horizontal="center"/>
    </xf>
    <xf numFmtId="0" fontId="0" fillId="0" borderId="4" xfId="0" applyNumberFormat="1" applyFill="1" applyBorder="1" applyAlignment="1" applyProtection="1">
      <alignment horizontal="center"/>
    </xf>
    <xf numFmtId="0" fontId="0" fillId="0" borderId="5" xfId="0" applyNumberFormat="1" applyFill="1" applyBorder="1" applyAlignment="1" applyProtection="1">
      <alignment horizontal="center"/>
    </xf>
    <xf numFmtId="0" fontId="0" fillId="0" borderId="6" xfId="0" applyNumberFormat="1" applyFill="1" applyBorder="1" applyAlignment="1" applyProtection="1">
      <alignment horizontal="center"/>
    </xf>
    <xf numFmtId="0" fontId="0" fillId="0" borderId="7" xfId="0" applyFill="1" applyBorder="1" applyProtection="1"/>
    <xf numFmtId="169" fontId="0" fillId="0" borderId="8" xfId="0" applyNumberFormat="1" applyFill="1" applyBorder="1" applyProtection="1"/>
    <xf numFmtId="0" fontId="0" fillId="0" borderId="0" xfId="0" applyFill="1" applyBorder="1" applyProtection="1"/>
    <xf numFmtId="168" fontId="0" fillId="0" borderId="0" xfId="0" applyNumberFormat="1" applyFill="1" applyBorder="1" applyAlignment="1" applyProtection="1"/>
    <xf numFmtId="166" fontId="0" fillId="0" borderId="0" xfId="0" applyNumberFormat="1" applyFill="1" applyBorder="1" applyAlignment="1" applyProtection="1">
      <alignment horizontal="center"/>
    </xf>
    <xf numFmtId="9" fontId="0" fillId="0" borderId="0" xfId="1" applyFont="1" applyFill="1" applyBorder="1" applyProtection="1"/>
    <xf numFmtId="3" fontId="0" fillId="0" borderId="0" xfId="0" applyNumberFormat="1" applyFill="1" applyBorder="1" applyProtection="1"/>
    <xf numFmtId="0" fontId="0" fillId="0" borderId="8" xfId="0" applyFill="1" applyBorder="1" applyAlignment="1" applyProtection="1">
      <alignment horizontal="center"/>
    </xf>
    <xf numFmtId="165" fontId="0" fillId="0" borderId="7" xfId="0" applyNumberFormat="1" applyFont="1" applyFill="1" applyBorder="1" applyProtection="1"/>
    <xf numFmtId="169" fontId="0" fillId="0" borderId="8" xfId="0" applyNumberFormat="1" applyFont="1" applyFill="1" applyBorder="1" applyProtection="1"/>
    <xf numFmtId="170" fontId="0" fillId="0" borderId="7" xfId="0" applyNumberFormat="1" applyFont="1" applyFill="1" applyBorder="1" applyProtection="1"/>
    <xf numFmtId="170" fontId="0" fillId="0" borderId="0" xfId="0" applyNumberFormat="1" applyFont="1" applyFill="1" applyBorder="1" applyProtection="1"/>
    <xf numFmtId="170" fontId="0" fillId="0" borderId="8" xfId="0" applyNumberFormat="1" applyFont="1" applyFill="1" applyBorder="1" applyProtection="1"/>
    <xf numFmtId="166" fontId="0" fillId="0" borderId="7" xfId="0" applyNumberFormat="1" applyFont="1" applyFill="1" applyBorder="1" applyProtection="1"/>
    <xf numFmtId="166" fontId="0" fillId="0" borderId="0" xfId="0" applyNumberFormat="1" applyFont="1" applyFill="1" applyBorder="1" applyProtection="1"/>
    <xf numFmtId="166" fontId="0" fillId="0" borderId="8" xfId="0" applyNumberFormat="1" applyFont="1" applyFill="1" applyBorder="1" applyProtection="1"/>
    <xf numFmtId="0" fontId="0" fillId="0" borderId="7" xfId="0" applyNumberFormat="1" applyFont="1" applyFill="1" applyBorder="1" applyAlignment="1" applyProtection="1">
      <alignment horizontal="center"/>
    </xf>
    <xf numFmtId="0" fontId="0" fillId="0" borderId="0" xfId="0" applyNumberFormat="1" applyFont="1" applyFill="1" applyBorder="1" applyAlignment="1" applyProtection="1">
      <alignment horizontal="center"/>
    </xf>
    <xf numFmtId="0" fontId="0" fillId="0" borderId="8" xfId="0" applyNumberFormat="1" applyFont="1" applyFill="1" applyBorder="1" applyAlignment="1" applyProtection="1">
      <alignment horizontal="center"/>
    </xf>
    <xf numFmtId="0" fontId="0" fillId="0" borderId="7" xfId="0" applyNumberFormat="1" applyFont="1" applyFill="1" applyBorder="1" applyProtection="1"/>
    <xf numFmtId="0" fontId="0" fillId="0" borderId="0" xfId="0" applyNumberFormat="1" applyFont="1" applyFill="1" applyBorder="1" applyProtection="1"/>
    <xf numFmtId="0" fontId="0" fillId="0" borderId="8" xfId="0" applyNumberFormat="1" applyFont="1" applyFill="1" applyBorder="1" applyProtection="1"/>
    <xf numFmtId="0" fontId="0" fillId="0" borderId="16" xfId="0" applyNumberFormat="1" applyFont="1" applyFill="1" applyBorder="1" applyProtection="1"/>
    <xf numFmtId="3" fontId="4" fillId="0" borderId="0" xfId="2" applyNumberFormat="1" applyFill="1" applyBorder="1" applyProtection="1"/>
    <xf numFmtId="0" fontId="0" fillId="0" borderId="7" xfId="0" applyNumberFormat="1" applyFill="1" applyBorder="1" applyAlignment="1" applyProtection="1">
      <alignment horizontal="center"/>
    </xf>
    <xf numFmtId="0" fontId="0" fillId="0" borderId="0" xfId="0" applyNumberFormat="1" applyFill="1" applyBorder="1" applyAlignment="1" applyProtection="1">
      <alignment horizontal="center"/>
    </xf>
    <xf numFmtId="0" fontId="0" fillId="0" borderId="8" xfId="0" applyNumberFormat="1" applyFill="1" applyBorder="1" applyAlignment="1" applyProtection="1">
      <alignment horizontal="center"/>
    </xf>
    <xf numFmtId="164" fontId="0" fillId="3" borderId="0" xfId="1" applyNumberFormat="1" applyFont="1" applyFill="1" applyProtection="1"/>
    <xf numFmtId="0" fontId="0" fillId="3" borderId="0" xfId="0" applyNumberFormat="1" applyFill="1" applyProtection="1"/>
    <xf numFmtId="0" fontId="12" fillId="9" borderId="0" xfId="3" applyBorder="1" applyProtection="1">
      <protection locked="0"/>
    </xf>
    <xf numFmtId="0" fontId="12" fillId="9" borderId="7" xfId="3" applyBorder="1" applyProtection="1">
      <protection locked="0"/>
    </xf>
    <xf numFmtId="0" fontId="3" fillId="3" borderId="0" xfId="0" applyFont="1" applyFill="1" applyProtection="1"/>
    <xf numFmtId="0" fontId="3" fillId="0" borderId="9" xfId="0" applyNumberFormat="1" applyFont="1" applyFill="1" applyBorder="1" applyAlignment="1" applyProtection="1"/>
    <xf numFmtId="0" fontId="3" fillId="0" borderId="10" xfId="0" applyNumberFormat="1" applyFont="1" applyFill="1" applyBorder="1" applyAlignment="1" applyProtection="1"/>
    <xf numFmtId="0" fontId="3" fillId="0" borderId="3" xfId="0" applyNumberFormat="1" applyFont="1" applyFill="1" applyBorder="1" applyAlignment="1" applyProtection="1"/>
    <xf numFmtId="165" fontId="3" fillId="0" borderId="9" xfId="0" applyNumberFormat="1" applyFont="1" applyFill="1" applyBorder="1" applyProtection="1"/>
    <xf numFmtId="1" fontId="3" fillId="0" borderId="10" xfId="0" applyNumberFormat="1" applyFont="1" applyFill="1" applyBorder="1" applyProtection="1"/>
    <xf numFmtId="0" fontId="3" fillId="0" borderId="9" xfId="0" applyFont="1" applyFill="1" applyBorder="1" applyProtection="1"/>
    <xf numFmtId="0" fontId="3" fillId="0" borderId="3" xfId="0" applyFont="1" applyFill="1" applyBorder="1" applyProtection="1"/>
    <xf numFmtId="0" fontId="3" fillId="0" borderId="10" xfId="0" applyFont="1" applyFill="1" applyBorder="1" applyProtection="1"/>
    <xf numFmtId="0" fontId="3" fillId="0" borderId="9" xfId="0" applyFont="1" applyFill="1" applyBorder="1" applyAlignment="1" applyProtection="1">
      <alignment horizontal="center"/>
    </xf>
    <xf numFmtId="0" fontId="3" fillId="0" borderId="3" xfId="0" applyFont="1" applyFill="1" applyBorder="1" applyAlignment="1" applyProtection="1">
      <alignment horizontal="center"/>
    </xf>
    <xf numFmtId="0" fontId="3" fillId="0" borderId="10" xfId="0" applyFont="1" applyFill="1" applyBorder="1" applyAlignment="1" applyProtection="1">
      <alignment horizontal="center"/>
    </xf>
    <xf numFmtId="0" fontId="3" fillId="0" borderId="17" xfId="0" applyFont="1" applyFill="1" applyBorder="1" applyProtection="1"/>
    <xf numFmtId="0" fontId="5" fillId="0" borderId="7" xfId="0" applyFont="1" applyFill="1" applyBorder="1" applyAlignment="1" applyProtection="1">
      <alignment wrapText="1"/>
    </xf>
    <xf numFmtId="167" fontId="2" fillId="4" borderId="22" xfId="0" applyNumberFormat="1" applyFont="1" applyFill="1" applyBorder="1" applyAlignment="1" applyProtection="1">
      <alignment horizontal="center" vertical="center" wrapText="1"/>
    </xf>
    <xf numFmtId="2" fontId="0" fillId="0" borderId="7" xfId="0" applyNumberFormat="1" applyFill="1" applyBorder="1" applyProtection="1"/>
    <xf numFmtId="0" fontId="12" fillId="9" borderId="7" xfId="3" quotePrefix="1" applyBorder="1" applyProtection="1">
      <protection locked="0"/>
    </xf>
    <xf numFmtId="3" fontId="12" fillId="9" borderId="0" xfId="3" applyNumberFormat="1" applyBorder="1" applyProtection="1">
      <protection locked="0"/>
    </xf>
    <xf numFmtId="0" fontId="13" fillId="10" borderId="0" xfId="0" quotePrefix="1" applyFont="1" applyFill="1" applyBorder="1" applyAlignment="1" applyProtection="1">
      <alignment horizontal="center" vertical="center" wrapText="1"/>
    </xf>
    <xf numFmtId="0" fontId="13" fillId="10" borderId="0" xfId="0" quotePrefix="1" applyFont="1" applyFill="1" applyBorder="1" applyAlignment="1" applyProtection="1">
      <alignment horizontal="center" vertical="center"/>
    </xf>
    <xf numFmtId="0" fontId="12" fillId="8" borderId="6" xfId="3" applyFill="1" applyBorder="1" applyProtection="1">
      <protection locked="0"/>
    </xf>
    <xf numFmtId="0" fontId="12" fillId="8" borderId="8" xfId="3" applyFill="1" applyBorder="1" applyProtection="1">
      <protection locked="0"/>
    </xf>
    <xf numFmtId="0" fontId="12" fillId="8" borderId="10" xfId="3" applyFill="1" applyBorder="1" applyProtection="1">
      <protection locked="0"/>
    </xf>
    <xf numFmtId="0" fontId="3" fillId="6" borderId="19" xfId="0" applyFont="1" applyFill="1" applyBorder="1" applyAlignment="1" applyProtection="1">
      <alignment wrapText="1"/>
    </xf>
    <xf numFmtId="0" fontId="3" fillId="6" borderId="20" xfId="0" applyFont="1" applyFill="1" applyBorder="1" applyAlignment="1" applyProtection="1">
      <alignment wrapText="1"/>
    </xf>
    <xf numFmtId="0" fontId="3" fillId="6" borderId="21" xfId="0" applyFont="1" applyFill="1" applyBorder="1" applyAlignment="1" applyProtection="1">
      <alignment wrapText="1"/>
    </xf>
    <xf numFmtId="0" fontId="3" fillId="3" borderId="0" xfId="0" applyFont="1" applyFill="1"/>
    <xf numFmtId="0" fontId="0" fillId="3" borderId="0" xfId="0" applyFont="1" applyFill="1"/>
    <xf numFmtId="0" fontId="13" fillId="10" borderId="0" xfId="0" quotePrefix="1" applyFont="1" applyFill="1" applyAlignment="1" applyProtection="1">
      <alignment horizontal="center"/>
    </xf>
    <xf numFmtId="0" fontId="13" fillId="10" borderId="0" xfId="0" applyFont="1" applyFill="1" applyAlignment="1" applyProtection="1">
      <alignment horizontal="center"/>
    </xf>
    <xf numFmtId="0" fontId="16" fillId="3" borderId="0" xfId="4" applyFont="1" applyFill="1" applyAlignment="1">
      <alignment horizontal="center"/>
    </xf>
    <xf numFmtId="0" fontId="3" fillId="3" borderId="0" xfId="0" applyFont="1" applyFill="1" applyAlignment="1">
      <alignment horizontal="center"/>
    </xf>
    <xf numFmtId="0" fontId="0" fillId="3" borderId="0" xfId="0" applyFill="1" applyAlignment="1">
      <alignment horizontal="center"/>
    </xf>
    <xf numFmtId="0" fontId="8" fillId="6" borderId="1" xfId="0" applyFont="1" applyFill="1" applyBorder="1" applyAlignment="1" applyProtection="1">
      <alignment horizontal="center" vertical="center" wrapText="1"/>
    </xf>
    <xf numFmtId="0" fontId="8" fillId="6" borderId="18" xfId="0" applyFont="1" applyFill="1" applyBorder="1" applyAlignment="1" applyProtection="1">
      <alignment horizontal="center" vertical="center" wrapText="1"/>
    </xf>
    <xf numFmtId="0" fontId="8" fillId="6" borderId="2" xfId="0" applyFont="1" applyFill="1" applyBorder="1" applyAlignment="1" applyProtection="1">
      <alignment horizontal="center" vertical="center" wrapText="1"/>
    </xf>
    <xf numFmtId="0" fontId="13" fillId="7" borderId="0" xfId="0" quotePrefix="1" applyFont="1" applyFill="1" applyAlignment="1" applyProtection="1">
      <alignment horizontal="center"/>
    </xf>
    <xf numFmtId="0" fontId="13" fillId="10" borderId="0" xfId="0" quotePrefix="1" applyFont="1" applyFill="1" applyAlignment="1" applyProtection="1">
      <alignment horizontal="center"/>
    </xf>
    <xf numFmtId="0" fontId="13" fillId="10" borderId="0" xfId="0" applyFont="1" applyFill="1" applyAlignment="1" applyProtection="1">
      <alignment horizontal="center"/>
    </xf>
    <xf numFmtId="0" fontId="8" fillId="5" borderId="12" xfId="0" applyFont="1" applyFill="1" applyBorder="1" applyAlignment="1" applyProtection="1">
      <alignment horizontal="center" vertical="center" wrapText="1"/>
    </xf>
    <xf numFmtId="0" fontId="8" fillId="5" borderId="13" xfId="0" applyFont="1" applyFill="1" applyBorder="1" applyAlignment="1" applyProtection="1">
      <alignment horizontal="center" vertical="center" wrapText="1"/>
    </xf>
    <xf numFmtId="167" fontId="8" fillId="2" borderId="12" xfId="0" applyNumberFormat="1" applyFont="1" applyFill="1" applyBorder="1" applyAlignment="1" applyProtection="1">
      <alignment horizontal="center" vertical="center" wrapText="1"/>
    </xf>
    <xf numFmtId="167" fontId="8" fillId="2" borderId="13" xfId="0" applyNumberFormat="1" applyFont="1" applyFill="1" applyBorder="1" applyAlignment="1" applyProtection="1">
      <alignment horizontal="center" vertical="center" wrapText="1"/>
    </xf>
    <xf numFmtId="167" fontId="8" fillId="4" borderId="12" xfId="0" applyNumberFormat="1" applyFont="1" applyFill="1" applyBorder="1" applyAlignment="1" applyProtection="1">
      <alignment horizontal="center" vertical="center" wrapText="1"/>
    </xf>
    <xf numFmtId="167" fontId="8" fillId="4" borderId="13" xfId="0" applyNumberFormat="1" applyFont="1" applyFill="1" applyBorder="1" applyAlignment="1" applyProtection="1">
      <alignment horizontal="center" vertical="center" wrapText="1"/>
    </xf>
    <xf numFmtId="167" fontId="2" fillId="2" borderId="12" xfId="0" applyNumberFormat="1" applyFont="1" applyFill="1" applyBorder="1" applyAlignment="1" applyProtection="1">
      <alignment horizontal="center" wrapText="1"/>
    </xf>
    <xf numFmtId="167" fontId="2" fillId="2" borderId="14" xfId="0" applyNumberFormat="1" applyFont="1" applyFill="1" applyBorder="1" applyAlignment="1" applyProtection="1">
      <alignment horizontal="center" wrapText="1"/>
    </xf>
    <xf numFmtId="167" fontId="2" fillId="2" borderId="13" xfId="0" applyNumberFormat="1" applyFont="1" applyFill="1" applyBorder="1" applyAlignment="1" applyProtection="1">
      <alignment horizontal="center" wrapText="1"/>
    </xf>
    <xf numFmtId="167" fontId="2" fillId="4" borderId="12" xfId="0" applyNumberFormat="1" applyFont="1" applyFill="1" applyBorder="1" applyAlignment="1" applyProtection="1">
      <alignment horizontal="center" wrapText="1"/>
    </xf>
    <xf numFmtId="167" fontId="2" fillId="4" borderId="14" xfId="0" applyNumberFormat="1" applyFont="1" applyFill="1" applyBorder="1" applyAlignment="1" applyProtection="1">
      <alignment horizontal="center" wrapText="1"/>
    </xf>
    <xf numFmtId="167" fontId="2" fillId="4" borderId="13" xfId="0" applyNumberFormat="1" applyFont="1" applyFill="1" applyBorder="1" applyAlignment="1" applyProtection="1">
      <alignment horizontal="center" wrapText="1"/>
    </xf>
    <xf numFmtId="0" fontId="0" fillId="3" borderId="0" xfId="0" applyFill="1" applyAlignment="1" applyProtection="1"/>
    <xf numFmtId="0" fontId="17" fillId="0" borderId="23" xfId="0" applyNumberFormat="1" applyFont="1" applyFill="1" applyBorder="1" applyProtection="1"/>
    <xf numFmtId="0" fontId="0" fillId="0" borderId="7" xfId="0" applyNumberFormat="1" applyFill="1" applyBorder="1" applyProtection="1"/>
    <xf numFmtId="168" fontId="0" fillId="0" borderId="0" xfId="0" applyNumberFormat="1" applyFill="1" applyAlignment="1" applyProtection="1"/>
    <xf numFmtId="166" fontId="0" fillId="0" borderId="0" xfId="0" applyNumberFormat="1" applyFill="1" applyAlignment="1" applyProtection="1">
      <alignment horizontal="center"/>
    </xf>
    <xf numFmtId="0" fontId="0" fillId="0" borderId="0" xfId="0" applyNumberFormat="1" applyFill="1" applyProtection="1"/>
    <xf numFmtId="9" fontId="0" fillId="0" borderId="0" xfId="1" applyNumberFormat="1" applyFont="1" applyFill="1" applyBorder="1" applyProtection="1"/>
    <xf numFmtId="3" fontId="0" fillId="0" borderId="0" xfId="0" applyNumberFormat="1" applyFill="1" applyProtection="1"/>
    <xf numFmtId="0" fontId="18" fillId="0" borderId="0" xfId="0" applyFont="1" applyFill="1" applyBorder="1" applyProtection="1"/>
    <xf numFmtId="1" fontId="18" fillId="0" borderId="0" xfId="0" applyNumberFormat="1" applyFont="1" applyFill="1" applyBorder="1" applyProtection="1"/>
    <xf numFmtId="1" fontId="18" fillId="0" borderId="9" xfId="0" applyNumberFormat="1" applyFont="1" applyFill="1" applyBorder="1" applyProtection="1"/>
    <xf numFmtId="0" fontId="18" fillId="0" borderId="3" xfId="0" applyFont="1" applyFill="1" applyBorder="1" applyProtection="1"/>
    <xf numFmtId="0" fontId="18" fillId="0" borderId="9" xfId="0" applyFont="1" applyFill="1" applyBorder="1" applyProtection="1"/>
    <xf numFmtId="0" fontId="18" fillId="0" borderId="10" xfId="0" applyFont="1" applyFill="1" applyBorder="1" applyProtection="1"/>
    <xf numFmtId="0" fontId="12" fillId="0" borderId="0" xfId="3" applyFill="1" applyProtection="1">
      <protection locked="0"/>
    </xf>
    <xf numFmtId="0" fontId="19" fillId="0" borderId="0" xfId="0" applyFont="1" applyFill="1" applyBorder="1" applyProtection="1"/>
    <xf numFmtId="3" fontId="20" fillId="0" borderId="0" xfId="0" applyNumberFormat="1" applyFont="1" applyFill="1" applyBorder="1" applyProtection="1"/>
    <xf numFmtId="0" fontId="20" fillId="0" borderId="0" xfId="0" applyFont="1" applyFill="1" applyBorder="1" applyProtection="1"/>
    <xf numFmtId="14" fontId="0" fillId="0" borderId="0" xfId="0" applyNumberFormat="1"/>
  </cellXfs>
  <cellStyles count="5">
    <cellStyle name="Benutzereingabe" xfId="3"/>
    <cellStyle name="Erklärender Text" xfId="2" builtinId="53"/>
    <cellStyle name="Link" xfId="4" builtinId="8"/>
    <cellStyle name="Prozent" xfId="1" builtinId="5"/>
    <cellStyle name="Standard" xfId="0" builtinId="0"/>
  </cellStyles>
  <dxfs count="338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rgb="FF3F3F76"/>
        <name val="Calibri"/>
        <scheme val="minor"/>
      </font>
      <numFmt numFmtId="3" formatCode="#,##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/>
        <strike val="0"/>
        <condense val="0"/>
        <extend val="0"/>
        <outline val="0"/>
        <shadow val="0"/>
        <u val="none"/>
        <vertAlign val="baseline"/>
        <sz val="11"/>
        <color rgb="FF7F7F7F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 outline="0">
        <left/>
        <right/>
        <top/>
        <bottom/>
      </border>
      <protection locked="1" hidden="0"/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FF0000"/>
        </patternFill>
      </fill>
    </dxf>
    <dxf>
      <fill>
        <patternFill>
          <bgColor rgb="FF92D050"/>
        </patternFill>
      </fill>
    </dxf>
    <dxf>
      <fill>
        <patternFill>
          <bgColor rgb="FFFF0000"/>
        </patternFill>
      </fill>
    </dxf>
    <dxf>
      <font>
        <color theme="0"/>
      </font>
      <fill>
        <patternFill>
          <bgColor rgb="FFFF0000"/>
        </patternFill>
      </fill>
      <border>
        <vertical/>
        <horizontal/>
      </border>
    </dxf>
    <dxf>
      <numFmt numFmtId="171" formatCode="#\ ?/?;;#\ ?/?"/>
    </dxf>
    <dxf>
      <numFmt numFmtId="171" formatCode="#\ ?/?;;#\ ?/?"/>
    </dxf>
    <dxf>
      <fill>
        <patternFill>
          <bgColor rgb="FFFF0000"/>
        </patternFill>
      </fill>
      <border>
        <left/>
        <right/>
        <top/>
        <bottom/>
        <vertical/>
        <horizontal/>
      </border>
    </dxf>
    <dxf>
      <fill>
        <patternFill>
          <bgColor rgb="FFFF0000"/>
        </patternFill>
      </fill>
      <border>
        <left/>
        <right/>
        <top/>
        <bottom/>
        <vertical/>
        <horizontal/>
      </border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fill>
        <patternFill>
          <bgColor rgb="FFFFFF00"/>
        </patternFill>
      </fill>
    </dxf>
    <dxf>
      <fill>
        <patternFill>
          <bgColor rgb="FFFFFF00"/>
        </patternFill>
      </fill>
    </dxf>
    <dxf>
      <fill>
        <patternFill>
          <bgColor rgb="FF92D050"/>
        </patternFill>
      </fill>
    </dxf>
    <dxf>
      <numFmt numFmtId="172" formatCode="#\ ?/?;;0"/>
    </dxf>
    <dxf>
      <numFmt numFmtId="19" formatCode="dd/mm/yyyy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 style="medium">
          <color indexed="64"/>
        </right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;;;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;;"/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;;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</font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solid">
          <fgColor theme="4" tint="0.79998168889431442"/>
          <bgColor theme="4" tint="0.79998168889431442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solid">
          <fgColor theme="4"/>
          <bgColor theme="4"/>
        </patternFill>
      </fill>
      <alignment horizontal="general" vertical="bottom" textRotation="0" wrapText="1" indent="0" justifyLastLine="0" shrinkToFit="0" readingOrder="0"/>
      <protection locked="1" hidden="0"/>
    </dxf>
    <dxf>
      <protection locked="0" hidden="0"/>
    </dxf>
    <dxf>
      <numFmt numFmtId="3" formatCode="#,##0"/>
      <protection locked="0" hidden="0"/>
    </dxf>
    <dxf>
      <numFmt numFmtId="3" formatCode="#,##0"/>
      <fill>
        <patternFill patternType="none">
          <fgColor indexed="64"/>
          <bgColor auto="1"/>
        </patternFill>
      </fill>
      <protection locked="1" hidden="0"/>
    </dxf>
    <dxf>
      <font>
        <b/>
      </font>
      <protection locked="1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medium">
          <color indexed="64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medium">
          <color indexed="64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thin">
          <color auto="1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6" formatCode="0&quot;.&quot;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 style="thin">
          <color auto="1"/>
        </right>
        <top style="medium">
          <color auto="1"/>
        </top>
        <bottom style="medium">
          <color auto="1"/>
        </bottom>
        <vertical style="thin">
          <color auto="1"/>
        </vertical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/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70" formatCode="#.00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" formatCode="0"/>
      <fill>
        <patternFill patternType="none">
          <fgColor indexed="64"/>
          <bgColor indexed="65"/>
        </patternFill>
      </fill>
      <border diagonalUp="0" diagonalDown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9" formatCode=";;;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;;"/>
      <fill>
        <patternFill patternType="none">
          <fgColor indexed="64"/>
          <bgColor indexed="65"/>
        </patternFill>
      </fill>
      <border diagonalUp="0" diagonalDown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5" formatCode="0;;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</border>
      <protection locked="1" hidden="0"/>
    </dxf>
    <dxf>
      <font>
        <b/>
      </font>
      <fill>
        <patternFill patternType="none">
          <fgColor indexed="64"/>
          <bgColor auto="1"/>
        </patternFill>
      </fill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/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3" formatCode="#,##0"/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13" formatCode="0%"/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166" formatCode="0&quot;.&quot;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168" formatCode=".0000"/>
      <fill>
        <patternFill patternType="none">
          <fgColor indexed="64"/>
          <bgColor auto="1"/>
        </patternFill>
      </fill>
      <alignment horizontal="general" vertical="bottom" textRotation="0" wrapText="0" indent="0" justifyLastLine="0" shrinkToFit="0" readingOrder="0"/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/>
        <top/>
        <bottom style="medium">
          <color indexed="64"/>
        </bottom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/>
        <bottom/>
        <vertical/>
        <horizontal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/>
        <right style="medium">
          <color indexed="64"/>
        </right>
        <top/>
        <bottom style="medium">
          <color indexed="64"/>
        </bottom>
      </border>
      <protection locked="1" hidden="0"/>
    </dxf>
    <dxf>
      <numFmt numFmtId="169" formatCode=";;;"/>
      <fill>
        <patternFill patternType="none">
          <fgColor indexed="64"/>
          <bgColor auto="1"/>
        </patternFill>
      </fill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general" vertical="bottom" textRotation="0" wrapText="0" indent="0" justifyLastLine="0" shrinkToFit="0" readingOrder="0"/>
      <border diagonalUp="0" diagonalDown="0" outline="0">
        <left style="medium">
          <color indexed="64"/>
        </left>
        <right/>
        <top/>
        <bottom style="medium">
          <color indexed="64"/>
        </bottom>
      </border>
      <protection locked="1" hidden="0"/>
    </dxf>
    <dxf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font>
        <b/>
      </font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theme="0"/>
        <name val="Calibri"/>
        <scheme val="minor"/>
      </font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 style="medium">
          <color indexed="64"/>
        </right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numFmt numFmtId="0" formatCode="General"/>
      <fill>
        <patternFill patternType="none">
          <fgColor indexed="64"/>
          <bgColor auto="1"/>
        </patternFill>
      </fill>
      <alignment horizontal="center" vertical="bottom" textRotation="0" wrapText="0" indent="0" justifyLastLine="0" shrinkToFit="0" readingOrder="0"/>
      <border diagonalUp="0" diagonalDown="0">
        <left/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numFmt numFmtId="2" formatCode="0.00"/>
      <fill>
        <patternFill patternType="none">
          <fgColor indexed="64"/>
          <bgColor auto="1"/>
        </patternFill>
      </fill>
      <border diagonalUp="0" diagonalDown="0">
        <left style="medium">
          <color indexed="64"/>
        </left>
        <right/>
        <top style="medium">
          <color auto="1"/>
        </top>
        <bottom style="medium">
          <color auto="1"/>
        </bottom>
        <vertical/>
        <horizontal style="medium">
          <color auto="1"/>
        </horizontal>
      </border>
      <protection locked="1" hidden="0"/>
    </dxf>
    <dxf>
      <protection locked="0" hidden="0"/>
    </dxf>
    <dxf>
      <border diagonalUp="0" diagonalDown="0">
        <left style="medium">
          <color indexed="64"/>
        </left>
        <right/>
        <top/>
        <bottom/>
      </border>
      <protection locked="0" hidden="0"/>
    </dxf>
    <dxf>
      <font>
        <b/>
      </font>
      <fill>
        <patternFill patternType="none">
          <fgColor indexed="64"/>
          <bgColor auto="1"/>
        </patternFill>
      </fill>
      <protection locked="1" hidden="0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ill>
        <patternFill patternType="none">
          <fgColor indexed="64"/>
          <bgColor auto="1"/>
        </patternFill>
      </fill>
      <protection locked="1" hidden="0"/>
    </dxf>
    <dxf>
      <fill>
        <patternFill patternType="none">
          <fgColor indexed="64"/>
          <bgColor auto="1"/>
        </patternFill>
      </fill>
      <alignment horizontal="general" vertical="bottom" textRotation="0" wrapText="1" indent="0" justifyLastLine="0" shrinkToFit="0" readingOrder="0"/>
      <protection locked="1" hidden="0"/>
    </dxf>
  </dxfs>
  <tableStyles count="0" defaultTableStyle="TableStyleMedium2" defaultPivotStyle="PivotStyleLight16"/>
  <colors>
    <mruColors>
      <color rgb="FF63C384"/>
      <color rgb="FF92D05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2.emf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400051</xdr:colOff>
      <xdr:row>5</xdr:row>
      <xdr:rowOff>28575</xdr:rowOff>
    </xdr:from>
    <xdr:to>
      <xdr:col>11</xdr:col>
      <xdr:colOff>19051</xdr:colOff>
      <xdr:row>41</xdr:row>
      <xdr:rowOff>117170</xdr:rowOff>
    </xdr:to>
    <xdr:pic>
      <xdr:nvPicPr>
        <xdr:cNvPr id="2" name="Grafik 1"/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162051" y="981075"/>
          <a:ext cx="7239000" cy="6946595"/>
        </a:xfrm>
        <a:prstGeom prst="rect">
          <a:avLst/>
        </a:prstGeom>
        <a:ln>
          <a:noFill/>
        </a:ln>
        <a:effectLst>
          <a:outerShdw blurRad="292100" dist="139700" dir="2700000" algn="tl" rotWithShape="0">
            <a:srgbClr val="333333">
              <a:alpha val="65000"/>
            </a:srgbClr>
          </a:outerShdw>
        </a:effec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mc:AlternateContent xmlns:mc="http://schemas.openxmlformats.org/markup-compatibility/2006">
    <mc:Choice xmlns:a14="http://schemas.microsoft.com/office/drawing/2010/main" Requires="a14">
      <xdr:twoCellAnchor editAs="oneCell">
        <xdr:from>
          <xdr:col>0</xdr:col>
          <xdr:colOff>723900</xdr:colOff>
          <xdr:row>6</xdr:row>
          <xdr:rowOff>19050</xdr:rowOff>
        </xdr:from>
        <xdr:to>
          <xdr:col>4</xdr:col>
          <xdr:colOff>381000</xdr:colOff>
          <xdr:row>26</xdr:row>
          <xdr:rowOff>38100</xdr:rowOff>
        </xdr:to>
        <xdr:sp macro="" textlink="">
          <xdr:nvSpPr>
            <xdr:cNvPr id="4098" name="Object 2" hidden="1">
              <a:extLst>
                <a:ext uri="{63B3BB69-23CF-44E3-9099-C40C66FF867C}">
                  <a14:compatExt spid="_x0000_s4098"/>
                </a:ext>
              </a:extLst>
            </xdr:cNvPr>
            <xdr:cNvSpPr/>
          </xdr:nvSpPr>
          <xdr:spPr bwMode="auto">
            <a:xfrm>
              <a:off x="0" y="0"/>
              <a:ext cx="0" cy="0"/>
            </a:xfrm>
            <a:prstGeom prst="rect">
              <a:avLst/>
            </a:prstGeom>
            <a:solidFill>
              <a:srgbClr val="FFFFFF" mc:Ignorable="a14" a14:legacySpreadsheetColorIndex="65"/>
            </a:solidFill>
            <a:ln w="9525">
              <a:solidFill>
                <a:srgbClr val="000000" mc:Ignorable="a14" a14:legacySpreadsheetColorIndex="64"/>
              </a:solidFill>
              <a:miter lim="800000"/>
              <a:headEnd/>
              <a:tailEnd/>
            </a:ln>
          </xdr:spPr>
        </xdr:sp>
        <xdr:clientData/>
      </xdr:twoCellAnchor>
    </mc:Choice>
    <mc:Fallback/>
  </mc:AlternateContent>
</xdr:wsDr>
</file>

<file path=xl/tables/table1.xml><?xml version="1.0" encoding="utf-8"?>
<table xmlns="http://schemas.openxmlformats.org/spreadsheetml/2006/main" id="1" name="Grunddaten" displayName="Grunddaten" ref="B6:H22" totalsRowCount="1" headerRowDxfId="337" dataDxfId="336" totalsRowDxfId="334" tableBorderDxfId="335" headerRowCellStyle="Standard" dataCellStyle="Standard" totalsRowCellStyle="Standard">
  <autoFilter ref="B6:H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</autoFilter>
  <tableColumns count="7">
    <tableColumn id="1" name="Partei/Wählergruppe" totalsRowLabel="Summe" dataDxfId="333" totalsRowDxfId="9" dataCellStyle="Benutzereingabe"/>
    <tableColumn id="3" name="Sitze im Hauptorgan" totalsRowFunction="sum" dataDxfId="332" totalsRowDxfId="8" dataCellStyle="Benutzereingabe"/>
    <tableColumn id="4" name="Proporzgenaue Zahl Ausschuss" totalsRowFunction="sum" dataDxfId="331" totalsRowDxfId="7" dataCellStyle="Standard">
      <calculatedColumnFormula>Grunddaten[[#This Row],[Sitze im Hauptorgan]]/Grunddaten[[#Totals],[Sitze im Hauptorgan]]*Sitze_Ausschuss</calculatedColumnFormula>
    </tableColumn>
    <tableColumn id="6" name="Quoten-_x000a_kriterium" totalsRowLabel="---" dataDxfId="330" totalsRowDxfId="6" dataCellStyle="Standard">
      <calculatedColumnFormula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calculatedColumnFormula>
    </tableColumn>
    <tableColumn id="5" name="H/N" totalsRowLabel="---" dataDxfId="329" totalsRowDxfId="5" dataCellStyle="Standard">
      <calculatedColumnFormula>"OK"</calculatedColumnFormula>
    </tableColumn>
    <tableColumn id="7" name="SL/S" totalsRowLabel="---" dataDxfId="328" totalsRowDxfId="4" dataCellStyle="Standard">
      <calculatedColumnFormula>IF(TabSLS[[#This Row],[QK verletzt]],"NOK","OK")</calculatedColumnFormula>
    </tableColumn>
    <tableColumn id="8" name="d'H" totalsRowLabel="---" dataDxfId="327" totalsRowDxfId="3" dataCellStyle="Standard">
      <calculatedColumnFormula>IF(TabDH[[#This Row],[QK verletzt]],"NOK","OK")</calculatedColumnFormula>
    </tableColumn>
  </tableColumns>
  <tableStyleInfo name="TableStyleMedium18" showFirstColumn="0" showLastColumn="0" showRowStripes="1" showColumnStripes="0"/>
</table>
</file>

<file path=xl/tables/table2.xml><?xml version="1.0" encoding="utf-8"?>
<table xmlns="http://schemas.openxmlformats.org/spreadsheetml/2006/main" id="2" name="TabHN" displayName="TabHN" ref="J6:S22" totalsRowCount="1" headerRowDxfId="326" dataDxfId="325" totalsRowDxfId="324" dataCellStyle="Standard">
  <autoFilter ref="J6: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</autoFilter>
  <tableColumns count="10">
    <tableColumn id="1" name="Sitze" totalsRowFunction="sum" dataDxfId="323" totalsRowDxfId="322" dataCellStyle="Standard">
      <calculatedColumnFormula>TabHN[[#This Row],[S ganz]]+IF(NOT(TabHN[[#This Row],[Patt]]),TabHN[[#This Row],[Restsitz]],0)</calculatedColumnFormula>
    </tableColumn>
    <tableColumn id="2" name="Patt Auflösung" totalsRowFunction="sum" dataDxfId="321" totalsRowDxfId="320" dataCellStyle="Standard">
      <calculatedColumnFormula>IF(TabHN[[#This Row],[Patt]],IF(Pattaufloesung="Los-Chance",TabHN[[#This Row],[Los Chance]],TabHN[[#This Row],[Pattgewinn]]+0),0)</calculatedColumnFormula>
    </tableColumn>
    <tableColumn id="3" name="S ganz" totalsRowFunction="sum" dataDxfId="319" totalsRowDxfId="318" dataCellStyle="Standard">
      <calculatedColumnFormula>INT(Grunddaten[[#This Row],[Proporzgenaue Zahl Ausschuss]])</calculatedColumnFormula>
    </tableColumn>
    <tableColumn id="4" name="S Rest" totalsRowFunction="custom" dataDxfId="317" totalsRowDxfId="316" dataCellStyle="Standard">
      <calculatedColumnFormula>ROUND(Grunddaten[[#This Row],[Proporzgenaue Zahl Ausschuss]]-TabHN[[#This Row],[S ganz]],4)</calculatedColumnFormula>
      <totalsRowFormula>ROUND(SUM(TabHN[S Rest]),0)</totalsRowFormula>
    </tableColumn>
    <tableColumn id="5" name="Rng Rest" dataDxfId="315" totalsRowDxfId="314" dataCellStyle="Standard">
      <calculatedColumnFormula>_xlfn.RANK.EQ(TabHN[[#This Row],[S Rest]],TabHN[S Rest],0)</calculatedColumnFormula>
    </tableColumn>
    <tableColumn id="6" name="Restsitz" totalsRowFunction="custom" dataDxfId="313" totalsRowDxfId="312" dataCellStyle="Standard">
      <calculatedColumnFormula>IF(TabHN[[#This Row],[Rng Rest]]&lt;=TabHN[[#Totals],[S Rest]],1,0)</calculatedColumnFormula>
      <totalsRowFormula>COUNTIF(TabHN[Patt],"=WAHR")*(-1)+SUM(TabHN[Restsitz])</totalsRowFormula>
    </tableColumn>
    <tableColumn id="7" name="Patt" totalsRowFunction="custom" dataDxfId="311" totalsRowDxfId="310" dataCellStyle="Standard">
      <calculatedColumnFormula>AND(TabHN[[#This Row],[Restsitz]]=1,(COUNTIF(TabHN[Rng Rest],TabHN[[#This Row],[Rng Rest]])+TabHN[[#This Row],[Rng Rest]]-1)&gt;TabHN[[#Totals],[S Rest]])</calculatedColumnFormula>
      <totalsRowFormula array="1">SUM(TabHN[Patt]*1)</totalsRowFormula>
    </tableColumn>
    <tableColumn id="8" name="Los Chance" totalsRowFunction="custom" dataDxfId="309" totalsRowDxfId="308" dataCellStyle="Prozent">
      <calculatedColumnFormula>IF(TabHN[[#This Row],[Patt]],(Sitze_Ausschuss-SUM(TabHN[Sitze]))/TabHN[[#Totals],[Patt]],0)</calculatedColumnFormula>
      <totalsRowFormula>ROUND(SUM(TabHN[Los Chance]),0)</totalsRowFormula>
    </tableColumn>
    <tableColumn id="9" name="Stimmen/Gelost" dataDxfId="307" totalsRowDxfId="306" dataCellStyle="Standard">
      <calculatedColumnFormula>TabHN[[#This Row],[Patt]]*IF(Pattaufloesung="Stimmen",TabPatt[[#This Row],[Stimmen]],TabPatt[[#This Row],[Loserfolg]])*1</calculatedColumnFormula>
    </tableColumn>
    <tableColumn id="10" name="Pattgewinn" dataDxfId="305" totalsRowDxfId="304" dataCellStyle="Standard">
      <calculatedColumnFormula>_xlfn.RANK.EQ(TabHN[[#This Row],[Stimmen/Gelost]],TabHN[Stimmen/Gelost],0)&lt;=(Sitze_Ausschuss-SUM(TabHN[Sitze]))</calculatedColumnFormula>
    </tableColumn>
  </tableColumns>
  <tableStyleInfo name="TableStyleMedium20" showFirstColumn="0" showLastColumn="0" showRowStripes="1" showColumnStripes="0"/>
</table>
</file>

<file path=xl/tables/table3.xml><?xml version="1.0" encoding="utf-8"?>
<table xmlns="http://schemas.openxmlformats.org/spreadsheetml/2006/main" id="3" name="TabSLS" displayName="TabSLS" ref="U6:CF22" totalsRowCount="1" headerRowDxfId="303" dataDxfId="302" totalsRowDxfId="301">
  <autoFilter ref="U6:CF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</autoFilter>
  <tableColumns count="64">
    <tableColumn id="1" name="Sitze" totalsRowFunction="sum" dataDxfId="300" totalsRowDxfId="299">
      <calculatedColumnFormula>COUNTIF(TabSLS[[#This Row],[SP1]:[SP37]],"SITZ")</calculatedColumnFormula>
    </tableColumn>
    <tableColumn id="2" name="Patt Auflösung" totalsRowFunction="sum" dataDxfId="298" totalsRowDxfId="297">
      <calculatedColumnFormula>IF(TabSLS[[#This Row],[Patt?]],IF(Pattaufloesung="Los-Chance",TabSLS[[#This Row],[Los Chance]],TabSLS[[#This Row],[Pattgewinn]]+0),0)</calculatedColumnFormula>
    </tableColumn>
    <tableColumn id="3" name=":1" dataDxfId="296" totalsRowDxfId="295">
      <calculatedColumnFormula>Grunddaten[[#This Row],[Sitze im Hauptorgan]]/_xlfn.NUMBERVALUE(MID(INDEX(TabSLS[[#Headers],[:1]:[:37]],COLUMN()-COLUMN(TabSLS[[#Headers],[:1]])+1),2,3))</calculatedColumnFormula>
    </tableColumn>
    <tableColumn id="4" name=":3" dataDxfId="294" totalsRowDxfId="293">
      <calculatedColumnFormula>Grunddaten[[#This Row],[Sitze im Hauptorgan]]/_xlfn.NUMBERVALUE(MID(INDEX(TabSLS[[#Headers],[:1]:[:37]],COLUMN()-COLUMN(TabSLS[[#Headers],[:1]])+1),2,3))</calculatedColumnFormula>
    </tableColumn>
    <tableColumn id="5" name=":5" dataDxfId="292" totalsRowDxfId="291">
      <calculatedColumnFormula>Grunddaten[[#This Row],[Sitze im Hauptorgan]]/_xlfn.NUMBERVALUE(MID(INDEX(TabSLS[[#Headers],[:1]:[:37]],COLUMN()-COLUMN(TabSLS[[#Headers],[:1]])+1),2,3))</calculatedColumnFormula>
    </tableColumn>
    <tableColumn id="6" name=":7" dataDxfId="290" totalsRowDxfId="289">
      <calculatedColumnFormula>Grunddaten[[#This Row],[Sitze im Hauptorgan]]/_xlfn.NUMBERVALUE(MID(INDEX(TabSLS[[#Headers],[:1]:[:37]],COLUMN()-COLUMN(TabSLS[[#Headers],[:1]])+1),2,3))</calculatedColumnFormula>
    </tableColumn>
    <tableColumn id="7" name=":9" dataDxfId="288" totalsRowDxfId="287">
      <calculatedColumnFormula>Grunddaten[[#This Row],[Sitze im Hauptorgan]]/_xlfn.NUMBERVALUE(MID(INDEX(TabSLS[[#Headers],[:1]:[:37]],COLUMN()-COLUMN(TabSLS[[#Headers],[:1]])+1),2,3))</calculatedColumnFormula>
    </tableColumn>
    <tableColumn id="8" name=":11" dataDxfId="286" totalsRowDxfId="285">
      <calculatedColumnFormula>Grunddaten[[#This Row],[Sitze im Hauptorgan]]/_xlfn.NUMBERVALUE(MID(INDEX(TabSLS[[#Headers],[:1]:[:37]],COLUMN()-COLUMN(TabSLS[[#Headers],[:1]])+1),2,3))</calculatedColumnFormula>
    </tableColumn>
    <tableColumn id="9" name=":13" dataDxfId="284" totalsRowDxfId="283">
      <calculatedColumnFormula>Grunddaten[[#This Row],[Sitze im Hauptorgan]]/_xlfn.NUMBERVALUE(MID(INDEX(TabSLS[[#Headers],[:1]:[:37]],COLUMN()-COLUMN(TabSLS[[#Headers],[:1]])+1),2,3))</calculatedColumnFormula>
    </tableColumn>
    <tableColumn id="10" name=":15" dataDxfId="282" totalsRowDxfId="281">
      <calculatedColumnFormula>Grunddaten[[#This Row],[Sitze im Hauptorgan]]/_xlfn.NUMBERVALUE(MID(INDEX(TabSLS[[#Headers],[:1]:[:37]],COLUMN()-COLUMN(TabSLS[[#Headers],[:1]])+1),2,3))</calculatedColumnFormula>
    </tableColumn>
    <tableColumn id="11" name=":17" dataDxfId="280" totalsRowDxfId="279">
      <calculatedColumnFormula>Grunddaten[[#This Row],[Sitze im Hauptorgan]]/_xlfn.NUMBERVALUE(MID(INDEX(TabSLS[[#Headers],[:1]:[:37]],COLUMN()-COLUMN(TabSLS[[#Headers],[:1]])+1),2,3))</calculatedColumnFormula>
    </tableColumn>
    <tableColumn id="12" name=":19" dataDxfId="278" totalsRowDxfId="277">
      <calculatedColumnFormula>Grunddaten[[#This Row],[Sitze im Hauptorgan]]/_xlfn.NUMBERVALUE(MID(INDEX(TabSLS[[#Headers],[:1]:[:37]],COLUMN()-COLUMN(TabSLS[[#Headers],[:1]])+1),2,3))</calculatedColumnFormula>
    </tableColumn>
    <tableColumn id="13" name=":21" dataDxfId="276" totalsRowDxfId="275">
      <calculatedColumnFormula>Grunddaten[[#This Row],[Sitze im Hauptorgan]]/_xlfn.NUMBERVALUE(MID(INDEX(TabSLS[[#Headers],[:1]:[:37]],COLUMN()-COLUMN(TabSLS[[#Headers],[:1]])+1),2,3))</calculatedColumnFormula>
    </tableColumn>
    <tableColumn id="14" name=":23" dataDxfId="274" totalsRowDxfId="273">
      <calculatedColumnFormula>Grunddaten[[#This Row],[Sitze im Hauptorgan]]/_xlfn.NUMBERVALUE(MID(INDEX(TabSLS[[#Headers],[:1]:[:37]],COLUMN()-COLUMN(TabSLS[[#Headers],[:1]])+1),2,3))</calculatedColumnFormula>
    </tableColumn>
    <tableColumn id="15" name=":25" dataDxfId="272" totalsRowDxfId="271">
      <calculatedColumnFormula>Grunddaten[[#This Row],[Sitze im Hauptorgan]]/_xlfn.NUMBERVALUE(MID(INDEX(TabSLS[[#Headers],[:1]:[:37]],COLUMN()-COLUMN(TabSLS[[#Headers],[:1]])+1),2,3))</calculatedColumnFormula>
    </tableColumn>
    <tableColumn id="16" name=":27" dataDxfId="270" totalsRowDxfId="269">
      <calculatedColumnFormula>Grunddaten[[#This Row],[Sitze im Hauptorgan]]/_xlfn.NUMBERVALUE(MID(INDEX(TabSLS[[#Headers],[:1]:[:37]],COLUMN()-COLUMN(TabSLS[[#Headers],[:1]])+1),2,3))</calculatedColumnFormula>
    </tableColumn>
    <tableColumn id="17" name=":29" dataDxfId="268" totalsRowDxfId="267">
      <calculatedColumnFormula>Grunddaten[[#This Row],[Sitze im Hauptorgan]]/_xlfn.NUMBERVALUE(MID(INDEX(TabSLS[[#Headers],[:1]:[:37]],COLUMN()-COLUMN(TabSLS[[#Headers],[:1]])+1),2,3))</calculatedColumnFormula>
    </tableColumn>
    <tableColumn id="18" name=":31" dataDxfId="266" totalsRowDxfId="265">
      <calculatedColumnFormula>Grunddaten[[#This Row],[Sitze im Hauptorgan]]/_xlfn.NUMBERVALUE(MID(INDEX(TabSLS[[#Headers],[:1]:[:37]],COLUMN()-COLUMN(TabSLS[[#Headers],[:1]])+1),2,3))</calculatedColumnFormula>
    </tableColumn>
    <tableColumn id="19" name=":33" dataDxfId="264" totalsRowDxfId="263">
      <calculatedColumnFormula>Grunddaten[[#This Row],[Sitze im Hauptorgan]]/_xlfn.NUMBERVALUE(MID(INDEX(TabSLS[[#Headers],[:1]:[:37]],COLUMN()-COLUMN(TabSLS[[#Headers],[:1]])+1),2,3))</calculatedColumnFormula>
    </tableColumn>
    <tableColumn id="20" name=":35" dataDxfId="262" totalsRowDxfId="261">
      <calculatedColumnFormula>Grunddaten[[#This Row],[Sitze im Hauptorgan]]/_xlfn.NUMBERVALUE(MID(INDEX(TabSLS[[#Headers],[:1]:[:37]],COLUMN()-COLUMN(TabSLS[[#Headers],[:1]])+1),2,3))</calculatedColumnFormula>
    </tableColumn>
    <tableColumn id="21" name=":37" dataDxfId="260" totalsRowDxfId="259">
      <calculatedColumnFormula>Grunddaten[[#This Row],[Sitze im Hauptorgan]]/_xlfn.NUMBERVALUE(MID(INDEX(TabSLS[[#Headers],[:1]:[:37]],COLUMN()-COLUMN(TabSLS[[#Headers],[:1]])+1),2,3))</calculatedColumnFormula>
    </tableColumn>
    <tableColumn id="22" name="R1" dataDxfId="258" totalsRowDxfId="257">
      <calculatedColumnFormula>_xlfn.RANK.EQ(TabSLS[[#This Row],[:1]],TabSLS[[:1]:[:37]],0)</calculatedColumnFormula>
    </tableColumn>
    <tableColumn id="23" name="R3" dataDxfId="256" totalsRowDxfId="255">
      <calculatedColumnFormula>_xlfn.RANK.EQ(TabSLS[[#This Row],[:3]],TabSLS[[:1]:[:37]],0)</calculatedColumnFormula>
    </tableColumn>
    <tableColumn id="24" name="R5" dataDxfId="254" totalsRowDxfId="253">
      <calculatedColumnFormula>_xlfn.RANK.EQ(TabSLS[[#This Row],[:5]],TabSLS[[:1]:[:37]],0)</calculatedColumnFormula>
    </tableColumn>
    <tableColumn id="25" name="R7" dataDxfId="252" totalsRowDxfId="251">
      <calculatedColumnFormula>_xlfn.RANK.EQ(TabSLS[[#This Row],[:7]],TabSLS[[:1]:[:37]],0)</calculatedColumnFormula>
    </tableColumn>
    <tableColumn id="26" name="R9" dataDxfId="250" totalsRowDxfId="249">
      <calculatedColumnFormula>_xlfn.RANK.EQ(TabSLS[[#This Row],[:9]],TabSLS[[:1]:[:37]],0)</calculatedColumnFormula>
    </tableColumn>
    <tableColumn id="27" name="R11" dataDxfId="248" totalsRowDxfId="247">
      <calculatedColumnFormula>_xlfn.RANK.EQ(TabSLS[[#This Row],[:11]],TabSLS[[:1]:[:37]],0)</calculatedColumnFormula>
    </tableColumn>
    <tableColumn id="28" name="R13" dataDxfId="246" totalsRowDxfId="245">
      <calculatedColumnFormula>_xlfn.RANK.EQ(TabSLS[[#This Row],[:13]],TabSLS[[:1]:[:37]],0)</calculatedColumnFormula>
    </tableColumn>
    <tableColumn id="29" name="R15" dataDxfId="244" totalsRowDxfId="243">
      <calculatedColumnFormula>_xlfn.RANK.EQ(TabSLS[[#This Row],[:15]],TabSLS[[:1]:[:37]],0)</calculatedColumnFormula>
    </tableColumn>
    <tableColumn id="30" name="R17" dataDxfId="242" totalsRowDxfId="241">
      <calculatedColumnFormula>_xlfn.RANK.EQ(TabSLS[[#This Row],[:17]],TabSLS[[:1]:[:37]],0)</calculatedColumnFormula>
    </tableColumn>
    <tableColumn id="31" name="R19" dataDxfId="240" totalsRowDxfId="239">
      <calculatedColumnFormula>_xlfn.RANK.EQ(TabSLS[[#This Row],[:19]],TabSLS[[:1]:[:37]],0)</calculatedColumnFormula>
    </tableColumn>
    <tableColumn id="32" name="R21" dataDxfId="238" totalsRowDxfId="237">
      <calculatedColumnFormula>_xlfn.RANK.EQ(TabSLS[[#This Row],[:21]],TabSLS[[:1]:[:37]],0)</calculatedColumnFormula>
    </tableColumn>
    <tableColumn id="33" name="R23" dataDxfId="236" totalsRowDxfId="235">
      <calculatedColumnFormula>_xlfn.RANK.EQ(TabSLS[[#This Row],[:23]],TabSLS[[:1]:[:37]],0)</calculatedColumnFormula>
    </tableColumn>
    <tableColumn id="34" name="R25" dataDxfId="234" totalsRowDxfId="233">
      <calculatedColumnFormula>_xlfn.RANK.EQ(TabSLS[[#This Row],[:25]],TabSLS[[:1]:[:37]],0)</calculatedColumnFormula>
    </tableColumn>
    <tableColumn id="35" name="R27" dataDxfId="232" totalsRowDxfId="231">
      <calculatedColumnFormula>_xlfn.RANK.EQ(TabSLS[[#This Row],[:27]],TabSLS[[:1]:[:37]],0)</calculatedColumnFormula>
    </tableColumn>
    <tableColumn id="36" name="R29" dataDxfId="230" totalsRowDxfId="229">
      <calculatedColumnFormula>_xlfn.RANK.EQ(TabSLS[[#This Row],[:29]],TabSLS[[:1]:[:37]],0)</calculatedColumnFormula>
    </tableColumn>
    <tableColumn id="37" name="R31" dataDxfId="228" totalsRowDxfId="227">
      <calculatedColumnFormula>_xlfn.RANK.EQ(TabSLS[[#This Row],[:31]],TabSLS[[:1]:[:37]],0)</calculatedColumnFormula>
    </tableColumn>
    <tableColumn id="38" name="R33" dataDxfId="226" totalsRowDxfId="225">
      <calculatedColumnFormula>_xlfn.RANK.EQ(TabSLS[[#This Row],[:33]],TabSLS[[:1]:[:37]],0)</calculatedColumnFormula>
    </tableColumn>
    <tableColumn id="39" name="R35" dataDxfId="224" totalsRowDxfId="223">
      <calculatedColumnFormula>_xlfn.RANK.EQ(TabSLS[[#This Row],[:35]],TabSLS[[:1]:[:37]],0)</calculatedColumnFormula>
    </tableColumn>
    <tableColumn id="40" name="R37" dataDxfId="222" totalsRowDxfId="221">
      <calculatedColumnFormula>_xlfn.RANK.EQ(TabSLS[[#This Row],[:37]],TabSLS[[:1]:[:37]],0)</calculatedColumnFormula>
    </tableColumn>
    <tableColumn id="41" name="SP1" dataDxfId="220" totalsRowDxfId="219">
      <calculatedColumnFormula>IF(TabSLS[[#This Row],[R1]]&lt;=Sitze_Ausschuss,IF(TabSLS[[#This Row],[R1]]+COUNTIF(TabSLS[[R1]:[R37]],TabSLS[[#This Row],[R1]])-1&lt;=Sitze_Ausschuss,"SITZ","PATT"),"")</calculatedColumnFormula>
    </tableColumn>
    <tableColumn id="42" name="SP3" dataDxfId="218" totalsRowDxfId="217">
      <calculatedColumnFormula>IF(TabSLS[[#This Row],[R3]]&lt;=Sitze_Ausschuss,IF(TabSLS[[#This Row],[R3]]+COUNTIF(TabSLS[[R1]:[R37]],TabSLS[[#This Row],[R3]])-1&lt;=Sitze_Ausschuss,"SITZ","PATT"),"")</calculatedColumnFormula>
    </tableColumn>
    <tableColumn id="43" name="SP5" dataDxfId="216" totalsRowDxfId="215">
      <calculatedColumnFormula>IF(TabSLS[[#This Row],[R5]]&lt;=Sitze_Ausschuss,IF(TabSLS[[#This Row],[R5]]+COUNTIF(TabSLS[[R1]:[R37]],TabSLS[[#This Row],[R5]])-1&lt;=Sitze_Ausschuss,"SITZ","PATT"),"")</calculatedColumnFormula>
    </tableColumn>
    <tableColumn id="44" name="SP7" dataDxfId="214" totalsRowDxfId="213">
      <calculatedColumnFormula>IF(TabSLS[[#This Row],[R7]]&lt;=Sitze_Ausschuss,IF(TabSLS[[#This Row],[R7]]+COUNTIF(TabSLS[[R1]:[R37]],TabSLS[[#This Row],[R7]])-1&lt;=Sitze_Ausschuss,"SITZ","PATT"),"")</calculatedColumnFormula>
    </tableColumn>
    <tableColumn id="45" name="SP9" dataDxfId="212" totalsRowDxfId="211">
      <calculatedColumnFormula>IF(TabSLS[[#This Row],[R9]]&lt;=Sitze_Ausschuss,IF(TabSLS[[#This Row],[R9]]+COUNTIF(TabSLS[[R1]:[R37]],TabSLS[[#This Row],[R9]])-1&lt;=Sitze_Ausschuss,"SITZ","PATT"),"")</calculatedColumnFormula>
    </tableColumn>
    <tableColumn id="46" name="SP11" dataDxfId="210" totalsRowDxfId="209">
      <calculatedColumnFormula>IF(TabSLS[[#This Row],[R11]]&lt;=Sitze_Ausschuss,IF(TabSLS[[#This Row],[R11]]+COUNTIF(TabSLS[[R1]:[R37]],TabSLS[[#This Row],[R11]])-1&lt;=Sitze_Ausschuss,"SITZ","PATT"),"")</calculatedColumnFormula>
    </tableColumn>
    <tableColumn id="47" name="SP13" dataDxfId="208" totalsRowDxfId="207">
      <calculatedColumnFormula>IF(TabSLS[[#This Row],[R13]]&lt;=Sitze_Ausschuss,IF(TabSLS[[#This Row],[R13]]+COUNTIF(TabSLS[[R1]:[R37]],TabSLS[[#This Row],[R13]])-1&lt;=Sitze_Ausschuss,"SITZ","PATT"),"")</calculatedColumnFormula>
    </tableColumn>
    <tableColumn id="48" name="SP15" dataDxfId="206" totalsRowDxfId="205">
      <calculatedColumnFormula>IF(TabSLS[[#This Row],[R15]]&lt;=Sitze_Ausschuss,IF(TabSLS[[#This Row],[R15]]+COUNTIF(TabSLS[[R1]:[R37]],TabSLS[[#This Row],[R15]])-1&lt;=Sitze_Ausschuss,"SITZ","PATT"),"")</calculatedColumnFormula>
    </tableColumn>
    <tableColumn id="49" name="SP17" dataDxfId="204" totalsRowDxfId="203">
      <calculatedColumnFormula>IF(TabSLS[[#This Row],[R17]]&lt;=Sitze_Ausschuss,IF(TabSLS[[#This Row],[R17]]+COUNTIF(TabSLS[[R1]:[R37]],TabSLS[[#This Row],[R17]])-1&lt;=Sitze_Ausschuss,"SITZ","PATT"),"")</calculatedColumnFormula>
    </tableColumn>
    <tableColumn id="50" name="SP19" dataDxfId="202" totalsRowDxfId="201">
      <calculatedColumnFormula>IF(TabSLS[[#This Row],[R19]]&lt;=Sitze_Ausschuss,IF(TabSLS[[#This Row],[R19]]+COUNTIF(TabSLS[[R1]:[R37]],TabSLS[[#This Row],[R19]])-1&lt;=Sitze_Ausschuss,"SITZ","PATT"),"")</calculatedColumnFormula>
    </tableColumn>
    <tableColumn id="51" name="SP21" dataDxfId="200" totalsRowDxfId="199">
      <calculatedColumnFormula>IF(TabSLS[[#This Row],[R21]]&lt;=Sitze_Ausschuss,IF(TabSLS[[#This Row],[R21]]+COUNTIF(TabSLS[[R1]:[R37]],TabSLS[[#This Row],[R21]])-1&lt;=Sitze_Ausschuss,"SITZ","PATT"),"")</calculatedColumnFormula>
    </tableColumn>
    <tableColumn id="52" name="SP23" dataDxfId="198" totalsRowDxfId="197">
      <calculatedColumnFormula>IF(TabSLS[[#This Row],[R23]]&lt;=Sitze_Ausschuss,IF(TabSLS[[#This Row],[R23]]+COUNTIF(TabSLS[[R1]:[R37]],TabSLS[[#This Row],[R23]])-1&lt;=Sitze_Ausschuss,"SITZ","PATT"),"")</calculatedColumnFormula>
    </tableColumn>
    <tableColumn id="53" name="SP25" dataDxfId="196" totalsRowDxfId="195">
      <calculatedColumnFormula>IF(TabSLS[[#This Row],[R25]]&lt;=Sitze_Ausschuss,IF(TabSLS[[#This Row],[R25]]+COUNTIF(TabSLS[[R1]:[R37]],TabSLS[[#This Row],[R25]])-1&lt;=Sitze_Ausschuss,"SITZ","PATT"),"")</calculatedColumnFormula>
    </tableColumn>
    <tableColumn id="54" name="SP27" dataDxfId="194" totalsRowDxfId="193">
      <calculatedColumnFormula>IF(TabSLS[[#This Row],[R27]]&lt;=Sitze_Ausschuss,IF(TabSLS[[#This Row],[R27]]+COUNTIF(TabSLS[[R1]:[R37]],TabSLS[[#This Row],[R27]])-1&lt;=Sitze_Ausschuss,"SITZ","PATT"),"")</calculatedColumnFormula>
    </tableColumn>
    <tableColumn id="55" name="SP29" dataDxfId="192" totalsRowDxfId="191">
      <calculatedColumnFormula>IF(TabSLS[[#This Row],[R29]]&lt;=Sitze_Ausschuss,IF(TabSLS[[#This Row],[R29]]+COUNTIF(TabSLS[[R1]:[R37]],TabSLS[[#This Row],[R29]])-1&lt;=Sitze_Ausschuss,"SITZ","PATT"),"")</calculatedColumnFormula>
    </tableColumn>
    <tableColumn id="56" name="SP31" dataDxfId="190" totalsRowDxfId="189">
      <calculatedColumnFormula>IF(TabSLS[[#This Row],[R31]]&lt;=Sitze_Ausschuss,IF(TabSLS[[#This Row],[R31]]+COUNTIF(TabSLS[[R1]:[R37]],TabSLS[[#This Row],[R31]])-1&lt;=Sitze_Ausschuss,"SITZ","PATT"),"")</calculatedColumnFormula>
    </tableColumn>
    <tableColumn id="57" name="SP33" dataDxfId="188" totalsRowDxfId="187">
      <calculatedColumnFormula>IF(TabSLS[[#This Row],[R33]]&lt;=Sitze_Ausschuss,IF(TabSLS[[#This Row],[R33]]+COUNTIF(TabSLS[[R1]:[R37]],TabSLS[[#This Row],[R33]])-1&lt;=Sitze_Ausschuss,"SITZ","PATT"),"")</calculatedColumnFormula>
    </tableColumn>
    <tableColumn id="58" name="SP35" dataDxfId="186" totalsRowDxfId="185">
      <calculatedColumnFormula>IF(TabSLS[[#This Row],[R35]]&lt;=Sitze_Ausschuss,IF(TabSLS[[#This Row],[R35]]+COUNTIF(TabSLS[[R1]:[R37]],TabSLS[[#This Row],[R35]])-1&lt;=Sitze_Ausschuss,"SITZ","PATT"),"")</calculatedColumnFormula>
    </tableColumn>
    <tableColumn id="59" name="SP37" dataDxfId="184" totalsRowDxfId="183">
      <calculatedColumnFormula>IF(TabSLS[[#This Row],[R37]]&lt;=Sitze_Ausschuss,IF(TabSLS[[#This Row],[R37]]+COUNTIF(TabSLS[[R1]:[R37]],TabSLS[[#This Row],[R37]])-1&lt;=Sitze_Ausschuss,"SITZ","PATT"),"")</calculatedColumnFormula>
    </tableColumn>
    <tableColumn id="60" name="Patt?" totalsRowFunction="custom" dataDxfId="182" totalsRowDxfId="181">
      <calculatedColumnFormula>COUNTIF(TabSLS[[#This Row],[SP1]:[SP37]],"PATT")&gt;0</calculatedColumnFormula>
      <totalsRowFormula array="1">SUM(TabSLS[Patt?]*1)</totalsRowFormula>
    </tableColumn>
    <tableColumn id="61" name="Los Chance" totalsRowFunction="custom" dataDxfId="180" totalsRowDxfId="179" dataCellStyle="Prozent">
      <calculatedColumnFormula>IF(TabSLS[[#This Row],[Patt?]],(Sitze_Ausschuss-SUM(TabSLS[Sitze]))/TabSLS[[#Totals],[Patt?]],0)</calculatedColumnFormula>
      <totalsRowFormula>ROUND(SUM(TabSLS[Los Chance]),0)</totalsRowFormula>
    </tableColumn>
    <tableColumn id="62" name="Stimmen Gelost" dataDxfId="178" totalsRowDxfId="177">
      <calculatedColumnFormula>TabSLS[[#This Row],[Patt?]]*IF(Pattaufloesung="Stimmen",TabPatt[[#This Row],[Stimmen]],TabPatt[[#This Row],[Loserfolg]])*1</calculatedColumnFormula>
    </tableColumn>
    <tableColumn id="63" name="Pattgewinn" dataDxfId="176" totalsRowDxfId="175">
      <calculatedColumnFormula>_xlfn.RANK.EQ(TabSLS[[#This Row],[Stimmen Gelost]],TabSLS[Stimmen Gelost],0)&lt;=(Sitze_Ausschuss-SUM(TabSLS[Sitze]))</calculatedColumnFormula>
    </tableColumn>
    <tableColumn id="64" name="QK verletzt" totalsRowFunction="count" dataDxfId="174" totalsRowDxfId="173">
      <calculatedColumnFormula>OR(TabSLS[[#This Row],[Sitze]]&lt;ROUNDDOWN(Grunddaten[[#This Row],[Proporzgenaue Zahl Ausschuss]],0),TabSLS[[#This Row],[Sitze]]+(TabSLS[[#This Row],[Patt?]]*1)&gt;ROUNDUP(Grunddaten[[#This Row],[Proporzgenaue Zahl Ausschuss]],0))</calculatedColumnFormula>
    </tableColumn>
  </tableColumns>
  <tableStyleInfo name="TableStyleMedium16" showFirstColumn="0" showLastColumn="0" showRowStripes="1" showColumnStripes="0"/>
</table>
</file>

<file path=xl/tables/table4.xml><?xml version="1.0" encoding="utf-8"?>
<table xmlns="http://schemas.openxmlformats.org/spreadsheetml/2006/main" id="4" name="TabPatt" displayName="TabPatt" ref="EU6:EW22" totalsRowCount="1" headerRowDxfId="172" dataDxfId="171" totalsRowDxfId="169" tableBorderDxfId="170">
  <autoFilter ref="EU6:EW21">
    <filterColumn colId="0" hiddenButton="1"/>
    <filterColumn colId="1" hiddenButton="1"/>
    <filterColumn colId="2" hiddenButton="1"/>
  </autoFilter>
  <tableColumns count="3">
    <tableColumn id="3" name="Partei Wählergruppe" totalsRowLabel="---" dataDxfId="168" totalsRowDxfId="2" dataCellStyle="Erklärender Text">
      <calculatedColumnFormula>Grunddaten[[#This Row],[Partei/Wählergruppe]]&amp;""</calculatedColumnFormula>
    </tableColumn>
    <tableColumn id="1" name="Stimmen" totalsRowFunction="sum" dataDxfId="167" totalsRowDxfId="1" dataCellStyle="Benutzereingabe"/>
    <tableColumn id="2" name="Loserfolg" totalsRowLabel="---" dataDxfId="166" totalsRowDxfId="0" dataCellStyle="Benutzereingabe"/>
  </tableColumns>
  <tableStyleInfo name="TableStyleMedium18" showFirstColumn="0" showLastColumn="0" showRowStripes="1" showColumnStripes="0"/>
</table>
</file>

<file path=xl/tables/table5.xml><?xml version="1.0" encoding="utf-8"?>
<table xmlns="http://schemas.openxmlformats.org/spreadsheetml/2006/main" id="7" name="TabDH" displayName="TabDH" ref="CH6:ES22" totalsRowCount="1" headerRowDxfId="165" dataDxfId="164" totalsRowDxfId="163">
  <autoFilter ref="CH6:ES21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</autoFilter>
  <tableColumns count="64">
    <tableColumn id="1" name="Sitze" totalsRowFunction="sum" dataDxfId="162" totalsRowDxfId="161">
      <calculatedColumnFormula>COUNTIF(TabDH[[#This Row],[SP1]:[SP19]],"SITZ")</calculatedColumnFormula>
    </tableColumn>
    <tableColumn id="2" name="Patt Auflösung" totalsRowFunction="sum" dataDxfId="160" totalsRowDxfId="159">
      <calculatedColumnFormula>IF(TabDH[[#This Row],[Patt]],IF(Pattaufloesung="Los-Chance",TabDH[[#This Row],[Los Chance]],TabDH[[#This Row],[Pattgewinn]]+0),0)</calculatedColumnFormula>
    </tableColumn>
    <tableColumn id="3" name=":1" dataDxfId="158" totalsRowDxfId="157">
      <calculatedColumnFormula>Grunddaten[[#This Row],[Sitze im Hauptorgan]]/_xlfn.NUMBERVALUE(MID(INDEX(TabDH[[#Headers],[:1]:[:19]],COLUMN()-COLUMN(TabDH[[#Headers],[:1]])+1),2,3))</calculatedColumnFormula>
    </tableColumn>
    <tableColumn id="4" name=":2" dataDxfId="156" totalsRowDxfId="155">
      <calculatedColumnFormula>Grunddaten[[#This Row],[Sitze im Hauptorgan]]/_xlfn.NUMBERVALUE(MID(INDEX(TabDH[[#Headers],[:1]:[:19]],COLUMN()-COLUMN(TabDH[[#Headers],[:1]])+1),2,3))</calculatedColumnFormula>
    </tableColumn>
    <tableColumn id="5" name=":3" dataDxfId="154" totalsRowDxfId="153">
      <calculatedColumnFormula>Grunddaten[[#This Row],[Sitze im Hauptorgan]]/_xlfn.NUMBERVALUE(MID(INDEX(TabDH[[#Headers],[:1]:[:19]],COLUMN()-COLUMN(TabDH[[#Headers],[:1]])+1),2,3))</calculatedColumnFormula>
    </tableColumn>
    <tableColumn id="6" name=":4" dataDxfId="152" totalsRowDxfId="151">
      <calculatedColumnFormula>Grunddaten[[#This Row],[Sitze im Hauptorgan]]/_xlfn.NUMBERVALUE(MID(INDEX(TabDH[[#Headers],[:1]:[:19]],COLUMN()-COLUMN(TabDH[[#Headers],[:1]])+1),2,3))</calculatedColumnFormula>
    </tableColumn>
    <tableColumn id="7" name=":5" dataDxfId="150" totalsRowDxfId="149">
      <calculatedColumnFormula>Grunddaten[[#This Row],[Sitze im Hauptorgan]]/_xlfn.NUMBERVALUE(MID(INDEX(TabDH[[#Headers],[:1]:[:19]],COLUMN()-COLUMN(TabDH[[#Headers],[:1]])+1),2,3))</calculatedColumnFormula>
    </tableColumn>
    <tableColumn id="8" name=":6" dataDxfId="148" totalsRowDxfId="147">
      <calculatedColumnFormula>Grunddaten[[#This Row],[Sitze im Hauptorgan]]/_xlfn.NUMBERVALUE(MID(INDEX(TabDH[[#Headers],[:1]:[:19]],COLUMN()-COLUMN(TabDH[[#Headers],[:1]])+1),2,3))</calculatedColumnFormula>
    </tableColumn>
    <tableColumn id="9" name=":7" dataDxfId="146" totalsRowDxfId="145">
      <calculatedColumnFormula>Grunddaten[[#This Row],[Sitze im Hauptorgan]]/_xlfn.NUMBERVALUE(MID(INDEX(TabDH[[#Headers],[:1]:[:19]],COLUMN()-COLUMN(TabDH[[#Headers],[:1]])+1),2,3))</calculatedColumnFormula>
    </tableColumn>
    <tableColumn id="10" name=":8" dataDxfId="144" totalsRowDxfId="143">
      <calculatedColumnFormula>Grunddaten[[#This Row],[Sitze im Hauptorgan]]/_xlfn.NUMBERVALUE(MID(INDEX(TabDH[[#Headers],[:1]:[:19]],COLUMN()-COLUMN(TabDH[[#Headers],[:1]])+1),2,3))</calculatedColumnFormula>
    </tableColumn>
    <tableColumn id="11" name=":9" dataDxfId="142" totalsRowDxfId="141">
      <calculatedColumnFormula>Grunddaten[[#This Row],[Sitze im Hauptorgan]]/_xlfn.NUMBERVALUE(MID(INDEX(TabDH[[#Headers],[:1]:[:19]],COLUMN()-COLUMN(TabDH[[#Headers],[:1]])+1),2,3))</calculatedColumnFormula>
    </tableColumn>
    <tableColumn id="12" name=":10" dataDxfId="140" totalsRowDxfId="139">
      <calculatedColumnFormula>Grunddaten[[#This Row],[Sitze im Hauptorgan]]/_xlfn.NUMBERVALUE(MID(INDEX(TabDH[[#Headers],[:1]:[:19]],COLUMN()-COLUMN(TabDH[[#Headers],[:1]])+1),2,3))</calculatedColumnFormula>
    </tableColumn>
    <tableColumn id="13" name=":11" dataDxfId="138" totalsRowDxfId="137">
      <calculatedColumnFormula>Grunddaten[[#This Row],[Sitze im Hauptorgan]]/_xlfn.NUMBERVALUE(MID(INDEX(TabDH[[#Headers],[:1]:[:19]],COLUMN()-COLUMN(TabDH[[#Headers],[:1]])+1),2,3))</calculatedColumnFormula>
    </tableColumn>
    <tableColumn id="14" name=":12" dataDxfId="136" totalsRowDxfId="135">
      <calculatedColumnFormula>Grunddaten[[#This Row],[Sitze im Hauptorgan]]/_xlfn.NUMBERVALUE(MID(INDEX(TabDH[[#Headers],[:1]:[:19]],COLUMN()-COLUMN(TabDH[[#Headers],[:1]])+1),2,3))</calculatedColumnFormula>
    </tableColumn>
    <tableColumn id="15" name=":13" dataDxfId="134" totalsRowDxfId="133">
      <calculatedColumnFormula>Grunddaten[[#This Row],[Sitze im Hauptorgan]]/_xlfn.NUMBERVALUE(MID(INDEX(TabDH[[#Headers],[:1]:[:19]],COLUMN()-COLUMN(TabDH[[#Headers],[:1]])+1),2,3))</calculatedColumnFormula>
    </tableColumn>
    <tableColumn id="16" name=":14" dataDxfId="132" totalsRowDxfId="131">
      <calculatedColumnFormula>Grunddaten[[#This Row],[Sitze im Hauptorgan]]/_xlfn.NUMBERVALUE(MID(INDEX(TabDH[[#Headers],[:1]:[:19]],COLUMN()-COLUMN(TabDH[[#Headers],[:1]])+1),2,3))</calculatedColumnFormula>
    </tableColumn>
    <tableColumn id="17" name=":15" dataDxfId="130" totalsRowDxfId="129">
      <calculatedColumnFormula>Grunddaten[[#This Row],[Sitze im Hauptorgan]]/_xlfn.NUMBERVALUE(MID(INDEX(TabDH[[#Headers],[:1]:[:19]],COLUMN()-COLUMN(TabDH[[#Headers],[:1]])+1),2,3))</calculatedColumnFormula>
    </tableColumn>
    <tableColumn id="18" name=":16" dataDxfId="128" totalsRowDxfId="127">
      <calculatedColumnFormula>Grunddaten[[#This Row],[Sitze im Hauptorgan]]/_xlfn.NUMBERVALUE(MID(INDEX(TabDH[[#Headers],[:1]:[:19]],COLUMN()-COLUMN(TabDH[[#Headers],[:1]])+1),2,3))</calculatedColumnFormula>
    </tableColumn>
    <tableColumn id="19" name=":17" dataDxfId="126" totalsRowDxfId="125">
      <calculatedColumnFormula>Grunddaten[[#This Row],[Sitze im Hauptorgan]]/_xlfn.NUMBERVALUE(MID(INDEX(TabDH[[#Headers],[:1]:[:19]],COLUMN()-COLUMN(TabDH[[#Headers],[:1]])+1),2,3))</calculatedColumnFormula>
    </tableColumn>
    <tableColumn id="20" name=":18" dataDxfId="124" totalsRowDxfId="123">
      <calculatedColumnFormula>Grunddaten[[#This Row],[Sitze im Hauptorgan]]/_xlfn.NUMBERVALUE(MID(INDEX(TabDH[[#Headers],[:1]:[:19]],COLUMN()-COLUMN(TabDH[[#Headers],[:1]])+1),2,3))</calculatedColumnFormula>
    </tableColumn>
    <tableColumn id="21" name=":19" dataDxfId="122" totalsRowDxfId="121">
      <calculatedColumnFormula>Grunddaten[[#This Row],[Sitze im Hauptorgan]]/_xlfn.NUMBERVALUE(MID(INDEX(TabDH[[#Headers],[:1]:[:19]],COLUMN()-COLUMN(TabDH[[#Headers],[:1]])+1),2,3))</calculatedColumnFormula>
    </tableColumn>
    <tableColumn id="22" name="R1" dataDxfId="120" totalsRowDxfId="119">
      <calculatedColumnFormula>_xlfn.RANK.EQ(TabDH[[#This Row],[:1]],TabDH[[:1]:[:19]],0)</calculatedColumnFormula>
    </tableColumn>
    <tableColumn id="23" name="R2" dataDxfId="118" totalsRowDxfId="117">
      <calculatedColumnFormula>_xlfn.RANK.EQ(TabDH[[#This Row],[:2]],TabDH[[:1]:[:19]],0)</calculatedColumnFormula>
    </tableColumn>
    <tableColumn id="24" name="R3" dataDxfId="116" totalsRowDxfId="115">
      <calculatedColumnFormula>_xlfn.RANK.EQ(TabDH[[#This Row],[:3]],TabDH[[:1]:[:19]],0)</calculatedColumnFormula>
    </tableColumn>
    <tableColumn id="25" name="R4" dataDxfId="114" totalsRowDxfId="113">
      <calculatedColumnFormula>_xlfn.RANK.EQ(TabDH[[#This Row],[:4]],TabDH[[:1]:[:19]],0)</calculatedColumnFormula>
    </tableColumn>
    <tableColumn id="26" name="R5" dataDxfId="112" totalsRowDxfId="111">
      <calculatedColumnFormula>_xlfn.RANK.EQ(TabDH[[#This Row],[:5]],TabDH[[:1]:[:19]],0)</calculatedColumnFormula>
    </tableColumn>
    <tableColumn id="27" name="R6" dataDxfId="110" totalsRowDxfId="109">
      <calculatedColumnFormula>_xlfn.RANK.EQ(TabDH[[#This Row],[:6]],TabDH[[:1]:[:19]],0)</calculatedColumnFormula>
    </tableColumn>
    <tableColumn id="28" name="R7" dataDxfId="108" totalsRowDxfId="107">
      <calculatedColumnFormula>_xlfn.RANK.EQ(TabDH[[#This Row],[:7]],TabDH[[:1]:[:19]],0)</calculatedColumnFormula>
    </tableColumn>
    <tableColumn id="29" name="R8" dataDxfId="106" totalsRowDxfId="105">
      <calculatedColumnFormula>_xlfn.RANK.EQ(TabDH[[#This Row],[:8]],TabDH[[:1]:[:19]],0)</calculatedColumnFormula>
    </tableColumn>
    <tableColumn id="30" name="R9" dataDxfId="104" totalsRowDxfId="103">
      <calculatedColumnFormula>_xlfn.RANK.EQ(TabDH[[#This Row],[:9]],TabDH[[:1]:[:19]],0)</calculatedColumnFormula>
    </tableColumn>
    <tableColumn id="31" name="R10" dataDxfId="102" totalsRowDxfId="101">
      <calculatedColumnFormula>_xlfn.RANK.EQ(TabDH[[#This Row],[:10]],TabDH[[:1]:[:19]],0)</calculatedColumnFormula>
    </tableColumn>
    <tableColumn id="32" name="R11" dataDxfId="100" totalsRowDxfId="99">
      <calculatedColumnFormula>_xlfn.RANK.EQ(TabDH[[#This Row],[:11]],TabDH[[:1]:[:19]],0)</calculatedColumnFormula>
    </tableColumn>
    <tableColumn id="33" name="R12" dataDxfId="98" totalsRowDxfId="97">
      <calculatedColumnFormula>_xlfn.RANK.EQ(TabDH[[#This Row],[:12]],TabDH[[:1]:[:19]],0)</calculatedColumnFormula>
    </tableColumn>
    <tableColumn id="34" name="R13" dataDxfId="96" totalsRowDxfId="95">
      <calculatedColumnFormula>_xlfn.RANK.EQ(TabDH[[#This Row],[:13]],TabDH[[:1]:[:19]],0)</calculatedColumnFormula>
    </tableColumn>
    <tableColumn id="35" name="R14" dataDxfId="94" totalsRowDxfId="93">
      <calculatedColumnFormula>_xlfn.RANK.EQ(TabDH[[#This Row],[:14]],TabDH[[:1]:[:19]],0)</calculatedColumnFormula>
    </tableColumn>
    <tableColumn id="36" name="R15" dataDxfId="92" totalsRowDxfId="91">
      <calculatedColumnFormula>_xlfn.RANK.EQ(TabDH[[#This Row],[:15]],TabDH[[:1]:[:19]],0)</calculatedColumnFormula>
    </tableColumn>
    <tableColumn id="37" name="R16" dataDxfId="90" totalsRowDxfId="89">
      <calculatedColumnFormula>_xlfn.RANK.EQ(TabDH[[#This Row],[:16]],TabDH[[:1]:[:19]],0)</calculatedColumnFormula>
    </tableColumn>
    <tableColumn id="38" name="R17" dataDxfId="88" totalsRowDxfId="87">
      <calculatedColumnFormula>_xlfn.RANK.EQ(TabDH[[#This Row],[:17]],TabDH[[:1]:[:19]],0)</calculatedColumnFormula>
    </tableColumn>
    <tableColumn id="39" name="R18" dataDxfId="86" totalsRowDxfId="85">
      <calculatedColumnFormula>_xlfn.RANK.EQ(TabDH[[#This Row],[:18]],TabDH[[:1]:[:19]],0)</calculatedColumnFormula>
    </tableColumn>
    <tableColumn id="40" name="R19" dataDxfId="84" totalsRowDxfId="83">
      <calculatedColumnFormula>_xlfn.RANK.EQ(TabDH[[#This Row],[:19]],TabDH[[:1]:[:19]],0)</calculatedColumnFormula>
    </tableColumn>
    <tableColumn id="41" name="SP1" dataDxfId="82" totalsRowDxfId="81">
      <calculatedColumnFormula>IF(TabDH[[#This Row],[R1]]&lt;=Sitze_Ausschuss,IF(TabDH[[#This Row],[R1]]+COUNTIF(TabDH[[R1]:[R19]],TabDH[[#This Row],[R1]])-1&lt;=Sitze_Ausschuss,"SITZ","PATT"),"")</calculatedColumnFormula>
    </tableColumn>
    <tableColumn id="42" name="SP2" dataDxfId="80" totalsRowDxfId="79">
      <calculatedColumnFormula>IF(TabDH[[#This Row],[R2]]&lt;=Sitze_Ausschuss,IF(TabDH[[#This Row],[R2]]+COUNTIF(TabDH[[R1]:[R19]],TabDH[[#This Row],[R2]])-1&lt;=Sitze_Ausschuss,"SITZ","PATT"),"")</calculatedColumnFormula>
    </tableColumn>
    <tableColumn id="43" name="SP3" dataDxfId="78" totalsRowDxfId="77">
      <calculatedColumnFormula>IF(TabDH[[#This Row],[R3]]&lt;=Sitze_Ausschuss,IF(TabDH[[#This Row],[R3]]+COUNTIF(TabDH[[R1]:[R19]],TabDH[[#This Row],[R3]])-1&lt;=Sitze_Ausschuss,"SITZ","PATT"),"")</calculatedColumnFormula>
    </tableColumn>
    <tableColumn id="44" name="SP4" dataDxfId="76" totalsRowDxfId="75">
      <calculatedColumnFormula>IF(TabDH[[#This Row],[R4]]&lt;=Sitze_Ausschuss,IF(TabDH[[#This Row],[R4]]+COUNTIF(TabDH[[R1]:[R19]],TabDH[[#This Row],[R4]])-1&lt;=Sitze_Ausschuss,"SITZ","PATT"),"")</calculatedColumnFormula>
    </tableColumn>
    <tableColumn id="45" name="SP5" dataDxfId="74" totalsRowDxfId="73">
      <calculatedColumnFormula>IF(TabDH[[#This Row],[R5]]&lt;=Sitze_Ausschuss,IF(TabDH[[#This Row],[R5]]+COUNTIF(TabDH[[R1]:[R19]],TabDH[[#This Row],[R5]])-1&lt;=Sitze_Ausschuss,"SITZ","PATT"),"")</calculatedColumnFormula>
    </tableColumn>
    <tableColumn id="46" name="SP6" dataDxfId="72" totalsRowDxfId="71">
      <calculatedColumnFormula>IF(TabDH[[#This Row],[R6]]&lt;=Sitze_Ausschuss,IF(TabDH[[#This Row],[R6]]+COUNTIF(TabDH[[R1]:[R19]],TabDH[[#This Row],[R6]])-1&lt;=Sitze_Ausschuss,"SITZ","PATT"),"")</calculatedColumnFormula>
    </tableColumn>
    <tableColumn id="47" name="SP7" dataDxfId="70" totalsRowDxfId="69">
      <calculatedColumnFormula>IF(TabDH[[#This Row],[R7]]&lt;=Sitze_Ausschuss,IF(TabDH[[#This Row],[R7]]+COUNTIF(TabDH[[R1]:[R19]],TabDH[[#This Row],[R7]])-1&lt;=Sitze_Ausschuss,"SITZ","PATT"),"")</calculatedColumnFormula>
    </tableColumn>
    <tableColumn id="48" name="SP8" dataDxfId="68" totalsRowDxfId="67">
      <calculatedColumnFormula>IF(TabDH[[#This Row],[R8]]&lt;=Sitze_Ausschuss,IF(TabDH[[#This Row],[R8]]+COUNTIF(TabDH[[R1]:[R19]],TabDH[[#This Row],[R8]])-1&lt;=Sitze_Ausschuss,"SITZ","PATT"),"")</calculatedColumnFormula>
    </tableColumn>
    <tableColumn id="49" name="SP9" dataDxfId="66" totalsRowDxfId="65">
      <calculatedColumnFormula>IF(TabDH[[#This Row],[R9]]&lt;=Sitze_Ausschuss,IF(TabDH[[#This Row],[R9]]+COUNTIF(TabDH[[R1]:[R19]],TabDH[[#This Row],[R9]])-1&lt;=Sitze_Ausschuss,"SITZ","PATT"),"")</calculatedColumnFormula>
    </tableColumn>
    <tableColumn id="50" name="SP10" dataDxfId="64" totalsRowDxfId="63">
      <calculatedColumnFormula>IF(TabDH[[#This Row],[R10]]&lt;=Sitze_Ausschuss,IF(TabDH[[#This Row],[R10]]+COUNTIF(TabDH[[R1]:[R19]],TabDH[[#This Row],[R10]])-1&lt;=Sitze_Ausschuss,"SITZ","PATT"),"")</calculatedColumnFormula>
    </tableColumn>
    <tableColumn id="51" name="SP11" dataDxfId="62" totalsRowDxfId="61">
      <calculatedColumnFormula>IF(TabDH[[#This Row],[R11]]&lt;=Sitze_Ausschuss,IF(TabDH[[#This Row],[R11]]+COUNTIF(TabDH[[R1]:[R19]],TabDH[[#This Row],[R11]])-1&lt;=Sitze_Ausschuss,"SITZ","PATT"),"")</calculatedColumnFormula>
    </tableColumn>
    <tableColumn id="52" name="SP12" dataDxfId="60" totalsRowDxfId="59">
      <calculatedColumnFormula>IF(TabDH[[#This Row],[R12]]&lt;=Sitze_Ausschuss,IF(TabDH[[#This Row],[R12]]+COUNTIF(TabDH[[R1]:[R19]],TabDH[[#This Row],[R12]])-1&lt;=Sitze_Ausschuss,"SITZ","PATT"),"")</calculatedColumnFormula>
    </tableColumn>
    <tableColumn id="53" name="SP13" dataDxfId="58" totalsRowDxfId="57">
      <calculatedColumnFormula>IF(TabDH[[#This Row],[R13]]&lt;=Sitze_Ausschuss,IF(TabDH[[#This Row],[R13]]+COUNTIF(TabDH[[R1]:[R19]],TabDH[[#This Row],[R13]])-1&lt;=Sitze_Ausschuss,"SITZ","PATT"),"")</calculatedColumnFormula>
    </tableColumn>
    <tableColumn id="54" name="SP14" dataDxfId="56" totalsRowDxfId="55">
      <calculatedColumnFormula>IF(TabDH[[#This Row],[R14]]&lt;=Sitze_Ausschuss,IF(TabDH[[#This Row],[R14]]+COUNTIF(TabDH[[R1]:[R19]],TabDH[[#This Row],[R14]])-1&lt;=Sitze_Ausschuss,"SITZ","PATT"),"")</calculatedColumnFormula>
    </tableColumn>
    <tableColumn id="55" name="SP15" dataDxfId="54" totalsRowDxfId="53">
      <calculatedColumnFormula>IF(TabDH[[#This Row],[R15]]&lt;=Sitze_Ausschuss,IF(TabDH[[#This Row],[R15]]+COUNTIF(TabDH[[R1]:[R19]],TabDH[[#This Row],[R15]])-1&lt;=Sitze_Ausschuss,"SITZ","PATT"),"")</calculatedColumnFormula>
    </tableColumn>
    <tableColumn id="56" name="SP16" dataDxfId="52" totalsRowDxfId="51">
      <calculatedColumnFormula>IF(TabDH[[#This Row],[R16]]&lt;=Sitze_Ausschuss,IF(TabDH[[#This Row],[R16]]+COUNTIF(TabDH[[R1]:[R19]],TabDH[[#This Row],[R16]])-1&lt;=Sitze_Ausschuss,"SITZ","PATT"),"")</calculatedColumnFormula>
    </tableColumn>
    <tableColumn id="57" name="SP17" dataDxfId="50" totalsRowDxfId="49">
      <calculatedColumnFormula>IF(TabDH[[#This Row],[R17]]&lt;=Sitze_Ausschuss,IF(TabDH[[#This Row],[R17]]+COUNTIF(TabDH[[R1]:[R19]],TabDH[[#This Row],[R17]])-1&lt;=Sitze_Ausschuss,"SITZ","PATT"),"")</calculatedColumnFormula>
    </tableColumn>
    <tableColumn id="58" name="SP18" dataDxfId="48" totalsRowDxfId="47">
      <calculatedColumnFormula>IF(TabDH[[#This Row],[R18]]&lt;=Sitze_Ausschuss,IF(TabDH[[#This Row],[R18]]+COUNTIF(TabDH[[R1]:[R19]],TabDH[[#This Row],[R18]])-1&lt;=Sitze_Ausschuss,"SITZ","PATT"),"")</calculatedColumnFormula>
    </tableColumn>
    <tableColumn id="59" name="SP19" dataDxfId="46" totalsRowDxfId="45">
      <calculatedColumnFormula>IF(TabDH[[#This Row],[R19]]&lt;=Sitze_Ausschuss,IF(TabDH[[#This Row],[R19]]+COUNTIF(TabDH[[R1]:[R19]],TabDH[[#This Row],[R19]])-1&lt;=Sitze_Ausschuss,"SITZ","PATT"),"")</calculatedColumnFormula>
    </tableColumn>
    <tableColumn id="60" name="Patt" totalsRowFunction="custom" dataDxfId="44" totalsRowDxfId="43">
      <calculatedColumnFormula>COUNTIF(TabDH[[#This Row],[SP1]:[SP19]],"PATT")&gt;0</calculatedColumnFormula>
      <totalsRowFormula array="1">SUM(TabDH[Patt]*1)</totalsRowFormula>
    </tableColumn>
    <tableColumn id="61" name="Los Chance" totalsRowFunction="custom" dataDxfId="42" totalsRowDxfId="41" dataCellStyle="Prozent">
      <calculatedColumnFormula>IF(TabDH[[#This Row],[Patt]],(Sitze_Ausschuss-SUM(TabDH[Sitze]))/TabDH[[#Totals],[Patt]],0)</calculatedColumnFormula>
      <totalsRowFormula>ROUND(SUM(TabDH[Los Chance]),0)</totalsRowFormula>
    </tableColumn>
    <tableColumn id="62" name="Stimmen/Gelost" dataDxfId="40" totalsRowDxfId="39">
      <calculatedColumnFormula>TabDH[[#This Row],[Patt]]*IF(Pattaufloesung="Stimmen",TabPatt[[#This Row],[Stimmen]],TabPatt[[#This Row],[Loserfolg]])*1</calculatedColumnFormula>
    </tableColumn>
    <tableColumn id="63" name="Pattgewinn" dataDxfId="38" totalsRowDxfId="37">
      <calculatedColumnFormula>_xlfn.RANK.EQ(TabDH[[#This Row],[Stimmen/Gelost]],TabDH[Stimmen/Gelost],0)&lt;=(Sitze_Ausschuss-SUM(TabDH[Sitze]))</calculatedColumnFormula>
    </tableColumn>
    <tableColumn id="64" name="QK verletzt" totalsRowFunction="count" dataDxfId="36" totalsRowDxfId="35">
      <calculatedColumnFormula>OR(TabDH[[#This Row],[Sitze]]&lt;ROUNDDOWN(Grunddaten[[#This Row],[Proporzgenaue Zahl Ausschuss]],0),TabDH[[#This Row],[Sitze]]+(TabDH[[#This Row],[Patt]]*1)&gt;ROUNDUP(Grunddaten[[#This Row],[Proporzgenaue Zahl Ausschuss]],0))</calculatedColumnFormula>
    </tableColumn>
  </tableColumns>
  <tableStyleInfo name="TableStyleMedium17" showFirstColumn="0" showLastColumn="0" showRowStripes="1" showColumnStripes="0"/>
</table>
</file>

<file path=xl/tables/table6.xml><?xml version="1.0" encoding="utf-8"?>
<table xmlns="http://schemas.openxmlformats.org/spreadsheetml/2006/main" id="5" name="Tabelle5" displayName="Tabelle5" ref="B2:D4" totalsRowShown="0">
  <autoFilter ref="B2:D4"/>
  <tableColumns count="3">
    <tableColumn id="1" name="Version"/>
    <tableColumn id="2" name="Veröffentlicht" dataDxfId="34"/>
    <tableColumn id="3" name="Bemerkung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Relationship Id="rId5" Type="http://schemas.openxmlformats.org/officeDocument/2006/relationships/image" Target="../media/image2.emf"/><Relationship Id="rId4" Type="http://schemas.openxmlformats.org/officeDocument/2006/relationships/oleObject" Target="../embeddings/oleObject1.bin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comments" Target="../comments1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2" Type="http://schemas.openxmlformats.org/officeDocument/2006/relationships/vmlDrawing" Target="../drawings/vmlDrawing2.vml"/><Relationship Id="rId1" Type="http://schemas.openxmlformats.org/officeDocument/2006/relationships/printerSettings" Target="../printerSettings/printerSettings3.bin"/><Relationship Id="rId6" Type="http://schemas.openxmlformats.org/officeDocument/2006/relationships/table" Target="../tables/table4.xml"/><Relationship Id="rId5" Type="http://schemas.openxmlformats.org/officeDocument/2006/relationships/table" Target="../tables/table3.xml"/><Relationship Id="rId4" Type="http://schemas.openxmlformats.org/officeDocument/2006/relationships/table" Target="../tables/table2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22"/>
  <sheetViews>
    <sheetView workbookViewId="0">
      <selection activeCell="B4" sqref="B4"/>
    </sheetView>
  </sheetViews>
  <sheetFormatPr baseColWidth="10" defaultRowHeight="15" x14ac:dyDescent="0.25"/>
  <cols>
    <col min="1" max="1" width="27.28515625" customWidth="1"/>
    <col min="2" max="2" width="77.28515625" customWidth="1"/>
    <col min="4" max="4" width="123.5703125" customWidth="1"/>
  </cols>
  <sheetData>
    <row r="1" spans="1:13" ht="63" customHeight="1" x14ac:dyDescent="0.25">
      <c r="A1" s="1"/>
      <c r="B1" s="1"/>
      <c r="C1" s="1"/>
      <c r="D1" s="1"/>
      <c r="E1" s="1"/>
      <c r="F1" s="1"/>
      <c r="G1" s="1"/>
      <c r="H1" s="1"/>
      <c r="I1" s="1"/>
      <c r="J1" s="1"/>
      <c r="K1" s="1"/>
      <c r="L1" s="1"/>
      <c r="M1" s="1"/>
    </row>
    <row r="2" spans="1:13" ht="265.5" customHeight="1" x14ac:dyDescent="0.25">
      <c r="A2" s="1"/>
      <c r="B2" s="2" t="s">
        <v>169</v>
      </c>
      <c r="C2" s="1"/>
      <c r="D2" s="1"/>
      <c r="E2" s="1"/>
      <c r="F2" s="1"/>
      <c r="G2" s="1"/>
      <c r="H2" s="1"/>
      <c r="I2" s="1"/>
      <c r="J2" s="1"/>
      <c r="K2" s="1"/>
      <c r="L2" s="1"/>
      <c r="M2" s="1"/>
    </row>
    <row r="3" spans="1:13" x14ac:dyDescent="0.25">
      <c r="A3" s="1"/>
      <c r="B3" s="1"/>
      <c r="C3" s="1"/>
      <c r="D3" s="1"/>
      <c r="E3" s="1"/>
      <c r="F3" s="1"/>
      <c r="G3" s="1"/>
      <c r="H3" s="1"/>
      <c r="I3" s="1"/>
      <c r="J3" s="1"/>
      <c r="K3" s="1"/>
      <c r="L3" s="1"/>
      <c r="M3" s="1"/>
    </row>
    <row r="4" spans="1:13" ht="150" customHeight="1" x14ac:dyDescent="0.25">
      <c r="A4" s="1"/>
      <c r="B4" s="1"/>
      <c r="C4" s="1"/>
      <c r="D4" s="1"/>
      <c r="E4" s="1"/>
      <c r="F4" s="1"/>
      <c r="G4" s="1"/>
      <c r="H4" s="1"/>
      <c r="I4" s="1"/>
      <c r="J4" s="1"/>
      <c r="K4" s="1"/>
      <c r="L4" s="1"/>
      <c r="M4" s="1"/>
    </row>
    <row r="5" spans="1:13" x14ac:dyDescent="0.25">
      <c r="A5" s="1"/>
      <c r="B5" s="1"/>
      <c r="C5" s="1"/>
      <c r="D5" s="1"/>
      <c r="E5" s="1"/>
      <c r="F5" s="1"/>
      <c r="G5" s="1"/>
      <c r="H5" s="1"/>
      <c r="I5" s="1"/>
      <c r="J5" s="1"/>
      <c r="K5" s="1"/>
      <c r="L5" s="1"/>
      <c r="M5" s="1"/>
    </row>
    <row r="6" spans="1:13" x14ac:dyDescent="0.25">
      <c r="A6" s="1"/>
      <c r="B6" s="1"/>
      <c r="C6" s="1"/>
      <c r="D6" s="1"/>
      <c r="E6" s="1"/>
      <c r="F6" s="1"/>
      <c r="G6" s="1"/>
      <c r="H6" s="1"/>
      <c r="I6" s="1"/>
      <c r="J6" s="1"/>
      <c r="K6" s="1"/>
      <c r="L6" s="1"/>
      <c r="M6" s="1"/>
    </row>
    <row r="7" spans="1:13" x14ac:dyDescent="0.25">
      <c r="A7" s="1"/>
      <c r="B7" s="1"/>
      <c r="C7" s="1"/>
      <c r="D7" s="1"/>
      <c r="E7" s="1"/>
      <c r="F7" s="1"/>
      <c r="G7" s="1"/>
      <c r="H7" s="1"/>
      <c r="I7" s="1"/>
      <c r="J7" s="1"/>
      <c r="K7" s="1"/>
      <c r="L7" s="1"/>
      <c r="M7" s="1"/>
    </row>
    <row r="8" spans="1:13" x14ac:dyDescent="0.25">
      <c r="A8" s="1"/>
      <c r="B8" s="1"/>
      <c r="C8" s="1"/>
      <c r="D8" s="1"/>
      <c r="E8" s="1"/>
      <c r="F8" s="1"/>
      <c r="G8" s="1"/>
      <c r="H8" s="1"/>
      <c r="I8" s="1"/>
      <c r="J8" s="1"/>
      <c r="K8" s="1"/>
      <c r="L8" s="1"/>
      <c r="M8" s="1"/>
    </row>
    <row r="9" spans="1:13" x14ac:dyDescent="0.25">
      <c r="A9" s="1"/>
      <c r="B9" s="1"/>
      <c r="C9" s="1"/>
      <c r="D9" s="1"/>
      <c r="E9" s="1"/>
      <c r="F9" s="1"/>
      <c r="G9" s="1"/>
      <c r="H9" s="1"/>
      <c r="I9" s="1"/>
      <c r="J9" s="1"/>
      <c r="K9" s="1"/>
      <c r="L9" s="1"/>
      <c r="M9" s="1"/>
    </row>
    <row r="10" spans="1:13" x14ac:dyDescent="0.25">
      <c r="A10" s="1"/>
      <c r="B10" s="1"/>
      <c r="C10" s="1"/>
      <c r="D10" s="1"/>
      <c r="E10" s="1"/>
      <c r="F10" s="1"/>
      <c r="G10" s="1"/>
      <c r="H10" s="1"/>
      <c r="I10" s="1"/>
      <c r="J10" s="1"/>
      <c r="K10" s="1"/>
      <c r="L10" s="1"/>
      <c r="M10" s="1"/>
    </row>
    <row r="11" spans="1:13" x14ac:dyDescent="0.25">
      <c r="A11" s="1"/>
      <c r="B11" s="1"/>
      <c r="C11" s="1"/>
      <c r="D11" s="1"/>
      <c r="E11" s="1"/>
      <c r="F11" s="1"/>
      <c r="G11" s="1"/>
      <c r="H11" s="1"/>
      <c r="I11" s="1"/>
      <c r="J11" s="1"/>
      <c r="K11" s="1"/>
      <c r="L11" s="1"/>
      <c r="M11" s="1"/>
    </row>
    <row r="12" spans="1:13" x14ac:dyDescent="0.25">
      <c r="A12" s="1"/>
      <c r="B12" s="1"/>
      <c r="C12" s="1"/>
      <c r="D12" s="1"/>
      <c r="E12" s="1"/>
      <c r="F12" s="1"/>
      <c r="G12" s="1"/>
      <c r="H12" s="1"/>
      <c r="I12" s="1"/>
      <c r="J12" s="1"/>
      <c r="K12" s="1"/>
      <c r="L12" s="1"/>
      <c r="M12" s="1"/>
    </row>
    <row r="13" spans="1:13" x14ac:dyDescent="0.25">
      <c r="A13" s="1"/>
      <c r="B13" s="1"/>
      <c r="C13" s="1"/>
      <c r="D13" s="1"/>
      <c r="E13" s="1"/>
      <c r="F13" s="1"/>
      <c r="G13" s="1"/>
      <c r="H13" s="1"/>
      <c r="I13" s="1"/>
      <c r="J13" s="1"/>
      <c r="K13" s="1"/>
      <c r="L13" s="1"/>
      <c r="M13" s="1"/>
    </row>
    <row r="14" spans="1:13" x14ac:dyDescent="0.25">
      <c r="A14" s="1"/>
      <c r="B14" s="1"/>
      <c r="C14" s="1"/>
      <c r="D14" s="1"/>
      <c r="E14" s="1"/>
      <c r="F14" s="1"/>
      <c r="G14" s="1"/>
      <c r="H14" s="1"/>
      <c r="I14" s="1"/>
      <c r="J14" s="1"/>
      <c r="K14" s="1"/>
      <c r="L14" s="1"/>
      <c r="M14" s="1"/>
    </row>
    <row r="15" spans="1:13" x14ac:dyDescent="0.25">
      <c r="A15" s="1"/>
      <c r="B15" s="1"/>
      <c r="C15" s="1"/>
      <c r="D15" s="1"/>
      <c r="E15" s="1"/>
      <c r="F15" s="1"/>
      <c r="G15" s="1"/>
      <c r="H15" s="1"/>
      <c r="I15" s="1"/>
      <c r="J15" s="1"/>
      <c r="K15" s="1"/>
      <c r="L15" s="1"/>
      <c r="M15" s="1"/>
    </row>
    <row r="16" spans="1:13" x14ac:dyDescent="0.25">
      <c r="A16" s="1"/>
      <c r="B16" s="1"/>
      <c r="C16" s="1"/>
      <c r="D16" s="1"/>
      <c r="E16" s="1"/>
      <c r="F16" s="1"/>
      <c r="G16" s="1"/>
      <c r="H16" s="1"/>
      <c r="I16" s="1"/>
      <c r="J16" s="1"/>
      <c r="K16" s="1"/>
      <c r="L16" s="1"/>
      <c r="M16" s="1"/>
    </row>
    <row r="17" spans="1:13" x14ac:dyDescent="0.25">
      <c r="A17" s="1"/>
      <c r="B17" s="1"/>
      <c r="C17" s="1"/>
      <c r="D17" s="1"/>
      <c r="E17" s="1"/>
      <c r="F17" s="1"/>
      <c r="G17" s="1"/>
      <c r="H17" s="1"/>
      <c r="I17" s="1"/>
      <c r="J17" s="1"/>
      <c r="K17" s="1"/>
      <c r="L17" s="1"/>
      <c r="M17" s="1"/>
    </row>
    <row r="18" spans="1:13" x14ac:dyDescent="0.25">
      <c r="A18" s="1"/>
      <c r="B18" s="1"/>
      <c r="C18" s="1"/>
      <c r="D18" s="1"/>
      <c r="E18" s="1"/>
      <c r="F18" s="1"/>
      <c r="G18" s="1"/>
      <c r="H18" s="1"/>
      <c r="I18" s="1"/>
      <c r="J18" s="1"/>
      <c r="K18" s="1"/>
      <c r="L18" s="1"/>
      <c r="M18" s="1"/>
    </row>
    <row r="19" spans="1:13" x14ac:dyDescent="0.25">
      <c r="A19" s="1"/>
      <c r="B19" s="1"/>
      <c r="C19" s="1"/>
      <c r="D19" s="1"/>
      <c r="E19" s="1"/>
      <c r="F19" s="1"/>
      <c r="G19" s="1"/>
      <c r="H19" s="1"/>
      <c r="I19" s="1"/>
      <c r="J19" s="1"/>
      <c r="K19" s="1"/>
      <c r="L19" s="1"/>
      <c r="M19" s="1"/>
    </row>
    <row r="20" spans="1:13" x14ac:dyDescent="0.25">
      <c r="A20" s="1"/>
      <c r="B20" s="1"/>
      <c r="C20" s="1"/>
      <c r="D20" s="1"/>
      <c r="E20" s="1"/>
      <c r="F20" s="1"/>
      <c r="G20" s="1"/>
      <c r="H20" s="1"/>
      <c r="I20" s="1"/>
      <c r="J20" s="1"/>
      <c r="K20" s="1"/>
      <c r="L20" s="1"/>
      <c r="M20" s="1"/>
    </row>
    <row r="21" spans="1:13" x14ac:dyDescent="0.25">
      <c r="A21" s="1"/>
      <c r="B21" s="1"/>
      <c r="C21" s="1"/>
      <c r="D21" s="1"/>
      <c r="E21" s="1"/>
      <c r="F21" s="1"/>
      <c r="G21" s="1"/>
      <c r="H21" s="1"/>
      <c r="I21" s="1"/>
      <c r="J21" s="1"/>
      <c r="K21" s="1"/>
      <c r="L21" s="1"/>
      <c r="M21" s="1"/>
    </row>
    <row r="22" spans="1:13" x14ac:dyDescent="0.25">
      <c r="B22" s="1"/>
      <c r="C22" s="1"/>
      <c r="D22" s="1"/>
      <c r="E22" s="1"/>
      <c r="F22" s="1"/>
      <c r="G22" s="1"/>
      <c r="H22" s="1"/>
      <c r="I22" s="1"/>
      <c r="J22" s="1"/>
      <c r="K22" s="1"/>
      <c r="L22" s="1"/>
      <c r="M22" s="1"/>
    </row>
  </sheetData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L4"/>
  <sheetViews>
    <sheetView workbookViewId="0">
      <selection activeCell="L10" sqref="L10"/>
    </sheetView>
  </sheetViews>
  <sheetFormatPr baseColWidth="10" defaultRowHeight="15" x14ac:dyDescent="0.25"/>
  <cols>
    <col min="1" max="16384" width="11.42578125" style="1"/>
  </cols>
  <sheetData>
    <row r="2" spans="2:12" x14ac:dyDescent="0.25">
      <c r="B2" s="99" t="s">
        <v>166</v>
      </c>
      <c r="C2" s="99"/>
      <c r="D2" s="99"/>
      <c r="E2" s="99"/>
      <c r="F2" s="99"/>
      <c r="G2" s="99"/>
      <c r="H2" s="99"/>
      <c r="I2" s="99"/>
      <c r="J2" s="99"/>
      <c r="K2" s="99"/>
      <c r="L2" s="99"/>
    </row>
    <row r="3" spans="2:12" x14ac:dyDescent="0.25">
      <c r="B3" s="98" t="str">
        <f>HYPERLINK("http://www.verwaltungsinformatiker.de", "Besuchen Sie uns auf verwaltungsinformatiker.de")</f>
        <v>Besuchen Sie uns auf verwaltungsinformatiker.de</v>
      </c>
      <c r="C3" s="98"/>
      <c r="D3" s="98"/>
      <c r="E3" s="98"/>
      <c r="F3" s="98"/>
      <c r="G3" s="98"/>
      <c r="H3" s="98"/>
      <c r="I3" s="98"/>
      <c r="J3" s="98"/>
      <c r="K3" s="98"/>
      <c r="L3" s="98"/>
    </row>
    <row r="4" spans="2:12" x14ac:dyDescent="0.25">
      <c r="B4" s="100" t="s">
        <v>170</v>
      </c>
      <c r="C4" s="100"/>
      <c r="D4" s="100"/>
      <c r="E4" s="100"/>
      <c r="F4" s="100"/>
      <c r="G4" s="100"/>
      <c r="H4" s="100"/>
      <c r="I4" s="100"/>
      <c r="J4" s="100"/>
      <c r="K4" s="100"/>
      <c r="L4" s="100"/>
    </row>
  </sheetData>
  <mergeCells count="3">
    <mergeCell ref="B3:L3"/>
    <mergeCell ref="B2:L2"/>
    <mergeCell ref="B4:L4"/>
  </mergeCells>
  <pageMargins left="0.7" right="0.7" top="0.78740157499999996" bottom="0.78740157499999996" header="0.3" footer="0.3"/>
  <pageSetup paperSize="9" orientation="portrait" horizontalDpi="4294967295" verticalDpi="4294967295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dimension ref="B3:B5"/>
  <sheetViews>
    <sheetView zoomScaleNormal="100" workbookViewId="0">
      <selection activeCell="I21" sqref="I21"/>
    </sheetView>
  </sheetViews>
  <sheetFormatPr baseColWidth="10" defaultRowHeight="15" x14ac:dyDescent="0.25"/>
  <cols>
    <col min="1" max="16384" width="11.42578125" style="1"/>
  </cols>
  <sheetData>
    <row r="3" spans="2:2" x14ac:dyDescent="0.25">
      <c r="B3" s="94" t="s">
        <v>167</v>
      </c>
    </row>
    <row r="5" spans="2:2" x14ac:dyDescent="0.25">
      <c r="B5" s="95" t="s">
        <v>168</v>
      </c>
    </row>
  </sheetData>
  <pageMargins left="0.7" right="0.7" top="0.78740157499999996" bottom="0.78740157499999996" header="0.3" footer="0.3"/>
  <pageSetup paperSize="9" orientation="portrait" r:id="rId1"/>
  <drawing r:id="rId2"/>
  <legacyDrawing r:id="rId3"/>
  <oleObjects>
    <mc:AlternateContent xmlns:mc="http://schemas.openxmlformats.org/markup-compatibility/2006">
      <mc:Choice Requires="x14">
        <oleObject progId="Acrobat Document" shapeId="4098" r:id="rId4">
          <objectPr defaultSize="0" autoPict="0" r:id="rId5">
            <anchor moveWithCells="1">
              <from>
                <xdr:col>0</xdr:col>
                <xdr:colOff>723900</xdr:colOff>
                <xdr:row>6</xdr:row>
                <xdr:rowOff>19050</xdr:rowOff>
              </from>
              <to>
                <xdr:col>4</xdr:col>
                <xdr:colOff>381000</xdr:colOff>
                <xdr:row>26</xdr:row>
                <xdr:rowOff>38100</xdr:rowOff>
              </to>
            </anchor>
          </objectPr>
        </oleObject>
      </mc:Choice>
      <mc:Fallback>
        <oleObject progId="Acrobat Document" shapeId="4098" r:id="rId4"/>
      </mc:Fallback>
    </mc:AlternateContent>
  </oleObjects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>
    <outlinePr summaryRight="0"/>
  </sheetPr>
  <dimension ref="A1:FH45"/>
  <sheetViews>
    <sheetView tabSelected="1" zoomScaleNormal="100" workbookViewId="0">
      <pane xSplit="3" ySplit="6" topLeftCell="D7" activePane="bottomRight" state="frozen"/>
      <selection pane="topRight" activeCell="D1" sqref="D1"/>
      <selection pane="bottomLeft" activeCell="A7" sqref="A7"/>
      <selection pane="bottomRight" activeCell="EW8" sqref="EW8"/>
    </sheetView>
  </sheetViews>
  <sheetFormatPr baseColWidth="10" defaultRowHeight="15" outlineLevelCol="2" x14ac:dyDescent="0.25"/>
  <cols>
    <col min="1" max="1" width="4.85546875" style="4" customWidth="1"/>
    <col min="2" max="2" width="23.28515625" style="4" customWidth="1"/>
    <col min="3" max="3" width="11.28515625" style="4" bestFit="1" customWidth="1"/>
    <col min="4" max="4" width="14.42578125" style="4" bestFit="1" customWidth="1"/>
    <col min="5" max="5" width="10.7109375" style="4" customWidth="1"/>
    <col min="6" max="8" width="5.42578125" style="4" customWidth="1"/>
    <col min="9" max="9" width="4.7109375" style="4" customWidth="1"/>
    <col min="10" max="10" width="9.42578125" style="4" customWidth="1"/>
    <col min="11" max="11" width="9.7109375" style="4" customWidth="1" collapsed="1"/>
    <col min="12" max="13" width="6.5703125" style="4" hidden="1" customWidth="1" outlineLevel="1"/>
    <col min="14" max="14" width="5.140625" style="4" hidden="1" customWidth="1" outlineLevel="1"/>
    <col min="15" max="15" width="7.85546875" style="4" hidden="1" customWidth="1" outlineLevel="1"/>
    <col min="16" max="16" width="7.7109375" style="4" hidden="1" customWidth="1" outlineLevel="1"/>
    <col min="17" max="17" width="7.42578125" style="4" hidden="1" customWidth="1" outlineLevel="1"/>
    <col min="18" max="18" width="9.85546875" style="4" hidden="1" customWidth="1" outlineLevel="1"/>
    <col min="19" max="19" width="11.140625" style="4" hidden="1" customWidth="1" outlineLevel="1"/>
    <col min="20" max="20" width="4" style="4" customWidth="1"/>
    <col min="21" max="21" width="9.42578125" style="4" customWidth="1"/>
    <col min="22" max="22" width="9.85546875" style="4" customWidth="1" collapsed="1"/>
    <col min="23" max="23" width="11.140625" style="4" hidden="1" customWidth="1" outlineLevel="1" collapsed="1"/>
    <col min="24" max="24" width="6.140625" style="4" hidden="1" customWidth="1" outlineLevel="2"/>
    <col min="25" max="25" width="5" style="4" hidden="1" customWidth="1" outlineLevel="2"/>
    <col min="26" max="26" width="5" style="4" hidden="1" customWidth="1" outlineLevel="2" collapsed="1"/>
    <col min="27" max="41" width="5" style="4" hidden="1" customWidth="1" outlineLevel="2"/>
    <col min="42" max="42" width="11.85546875" style="4" hidden="1" customWidth="1" outlineLevel="1" collapsed="1"/>
    <col min="43" max="44" width="5.42578125" style="4" hidden="1" customWidth="1" outlineLevel="2"/>
    <col min="45" max="45" width="5.42578125" style="4" hidden="1" customWidth="1" outlineLevel="2" collapsed="1"/>
    <col min="46" max="60" width="5.42578125" style="4" hidden="1" customWidth="1" outlineLevel="2"/>
    <col min="61" max="61" width="9.42578125" style="4" hidden="1" customWidth="1" outlineLevel="1" collapsed="1"/>
    <col min="62" max="79" width="6" style="4" hidden="1" customWidth="1" outlineLevel="2"/>
    <col min="80" max="80" width="13.140625" style="4" hidden="1" customWidth="1" outlineLevel="1" collapsed="1"/>
    <col min="81" max="81" width="7.28515625" style="4" hidden="1" customWidth="1" outlineLevel="2"/>
    <col min="82" max="82" width="8.85546875" style="4" hidden="1" customWidth="1" outlineLevel="2"/>
    <col min="83" max="83" width="11.140625" style="4" hidden="1" customWidth="1" outlineLevel="2"/>
    <col min="84" max="84" width="9.7109375" style="4" hidden="1" customWidth="1" outlineLevel="1"/>
    <col min="85" max="85" width="4.5703125" style="4" customWidth="1"/>
    <col min="86" max="86" width="7.5703125" style="4" customWidth="1"/>
    <col min="87" max="87" width="12.28515625" style="4" customWidth="1" collapsed="1"/>
    <col min="88" max="88" width="13" style="4" hidden="1" customWidth="1" outlineLevel="1" collapsed="1"/>
    <col min="89" max="89" width="7.85546875" style="4" hidden="1" customWidth="1" outlineLevel="2"/>
    <col min="90" max="90" width="8.140625" style="4" hidden="1" customWidth="1" outlineLevel="2"/>
    <col min="91" max="91" width="6.5703125" style="4" hidden="1" customWidth="1" outlineLevel="2"/>
    <col min="92" max="101" width="5.5703125" style="4" hidden="1" customWidth="1" outlineLevel="2"/>
    <col min="102" max="102" width="6.140625" style="4" hidden="1" customWidth="1" outlineLevel="2"/>
    <col min="103" max="106" width="5.5703125" style="4" hidden="1" customWidth="1" outlineLevel="2"/>
    <col min="107" max="107" width="12.5703125" style="4" hidden="1" customWidth="1" outlineLevel="1" collapsed="1"/>
    <col min="108" max="108" width="4.5703125" style="4" hidden="1" customWidth="1" outlineLevel="2"/>
    <col min="109" max="125" width="5" style="4" hidden="1" customWidth="1" outlineLevel="2"/>
    <col min="126" max="126" width="6" style="4" hidden="1" customWidth="1" outlineLevel="1" collapsed="1"/>
    <col min="127" max="144" width="6" style="4" hidden="1" customWidth="1" outlineLevel="2"/>
    <col min="145" max="145" width="7.7109375" style="4" hidden="1" customWidth="1" outlineLevel="1" collapsed="1"/>
    <col min="146" max="146" width="7.42578125" style="4" hidden="1" customWidth="1" outlineLevel="2"/>
    <col min="147" max="147" width="8.85546875" style="4" hidden="1" customWidth="1" outlineLevel="2"/>
    <col min="148" max="148" width="7.5703125" style="4" hidden="1" customWidth="1" outlineLevel="2"/>
    <col min="149" max="149" width="8" style="4" hidden="1" customWidth="1" outlineLevel="1"/>
    <col min="150" max="150" width="3.85546875" style="4" customWidth="1"/>
    <col min="151" max="151" width="24.140625" style="4" bestFit="1" customWidth="1"/>
    <col min="152" max="152" width="10.7109375" style="4" customWidth="1"/>
    <col min="153" max="153" width="11.28515625" style="4" customWidth="1"/>
    <col min="154" max="154" width="6.28515625" style="4" customWidth="1"/>
    <col min="155" max="158" width="11.42578125" style="4"/>
    <col min="159" max="164" width="11.42578125" style="3"/>
    <col min="165" max="16384" width="11.42578125" style="4"/>
  </cols>
  <sheetData>
    <row r="1" spans="1:164" ht="15" customHeight="1" x14ac:dyDescent="0.25">
      <c r="A1" s="3"/>
      <c r="B1" s="91" t="s">
        <v>6</v>
      </c>
      <c r="C1" s="88">
        <v>24</v>
      </c>
      <c r="D1" s="86" t="s">
        <v>158</v>
      </c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3"/>
      <c r="AF1" s="3"/>
      <c r="AG1" s="3"/>
      <c r="AH1" s="3"/>
      <c r="AI1" s="3"/>
      <c r="AJ1" s="3"/>
      <c r="AK1" s="3"/>
      <c r="AL1" s="3"/>
      <c r="AM1" s="3"/>
      <c r="AN1" s="3"/>
      <c r="AO1" s="3"/>
      <c r="AP1" s="3"/>
      <c r="AQ1" s="3"/>
      <c r="AR1" s="3"/>
      <c r="AS1" s="3"/>
      <c r="AT1" s="3"/>
      <c r="AU1" s="3"/>
      <c r="AV1" s="3"/>
      <c r="AW1" s="3"/>
      <c r="AX1" s="3"/>
      <c r="AY1" s="3"/>
      <c r="AZ1" s="3"/>
      <c r="BA1" s="3"/>
      <c r="BB1" s="3"/>
      <c r="BC1" s="3"/>
      <c r="BD1" s="3"/>
      <c r="BE1" s="3"/>
      <c r="BF1" s="3"/>
      <c r="BG1" s="3"/>
      <c r="BH1" s="3"/>
      <c r="BI1" s="3"/>
      <c r="BJ1" s="3"/>
      <c r="BK1" s="3"/>
      <c r="BL1" s="3"/>
      <c r="BM1" s="3"/>
      <c r="BN1" s="3"/>
      <c r="BO1" s="3"/>
      <c r="BP1" s="3"/>
      <c r="BQ1" s="3"/>
      <c r="BR1" s="3"/>
      <c r="BS1" s="3"/>
      <c r="BT1" s="3"/>
      <c r="BU1" s="3"/>
      <c r="BV1" s="3"/>
      <c r="BW1" s="3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  <c r="CJ1" s="3"/>
      <c r="CK1" s="3"/>
      <c r="CL1" s="3"/>
      <c r="CM1" s="3"/>
      <c r="CN1" s="3"/>
      <c r="CO1" s="3"/>
      <c r="CP1" s="3"/>
      <c r="CQ1" s="3"/>
      <c r="CR1" s="3"/>
      <c r="CS1" s="3"/>
      <c r="CT1" s="3"/>
      <c r="CU1" s="3"/>
      <c r="CV1" s="3"/>
      <c r="CW1" s="3"/>
      <c r="CX1" s="3"/>
      <c r="CY1" s="3"/>
      <c r="CZ1" s="3"/>
      <c r="DA1" s="3"/>
      <c r="DB1" s="3"/>
      <c r="DC1" s="3"/>
      <c r="DD1" s="3"/>
      <c r="DE1" s="3"/>
      <c r="DF1" s="3"/>
      <c r="DG1" s="3"/>
      <c r="DH1" s="3"/>
      <c r="DI1" s="3"/>
      <c r="DJ1" s="3"/>
      <c r="DK1" s="3"/>
      <c r="DL1" s="3"/>
      <c r="DM1" s="3"/>
      <c r="DN1" s="3"/>
      <c r="DO1" s="3"/>
      <c r="DP1" s="3"/>
      <c r="DQ1" s="3"/>
      <c r="DR1" s="3"/>
      <c r="DS1" s="3"/>
      <c r="DT1" s="3"/>
      <c r="DU1" s="3"/>
      <c r="DV1" s="3"/>
      <c r="DW1" s="3"/>
      <c r="DX1" s="3"/>
      <c r="DY1" s="3"/>
      <c r="DZ1" s="3"/>
      <c r="EA1" s="3"/>
      <c r="EB1" s="3"/>
      <c r="EC1" s="3"/>
      <c r="ED1" s="3"/>
      <c r="EE1" s="3"/>
      <c r="EF1" s="3"/>
      <c r="EG1" s="3"/>
      <c r="EH1" s="3"/>
      <c r="EI1" s="3"/>
      <c r="EJ1" s="3"/>
      <c r="EK1" s="3"/>
      <c r="EL1" s="3"/>
      <c r="EM1" s="3"/>
      <c r="EN1" s="3"/>
      <c r="EO1" s="3"/>
      <c r="EP1" s="3"/>
      <c r="EQ1" s="3"/>
      <c r="ER1" s="3"/>
      <c r="ES1" s="3"/>
      <c r="ET1" s="3"/>
      <c r="EU1" s="3"/>
      <c r="EV1" s="3"/>
      <c r="EW1" s="3"/>
      <c r="EX1" s="3"/>
      <c r="EY1" s="3"/>
      <c r="EZ1" s="3"/>
      <c r="FA1" s="3"/>
      <c r="FB1" s="3"/>
    </row>
    <row r="2" spans="1:164" x14ac:dyDescent="0.25">
      <c r="A2" s="3"/>
      <c r="B2" s="92" t="s">
        <v>7</v>
      </c>
      <c r="C2" s="89">
        <v>11</v>
      </c>
      <c r="D2" s="87" t="s">
        <v>163</v>
      </c>
      <c r="E2" s="3"/>
      <c r="F2" s="3"/>
      <c r="G2" s="3"/>
      <c r="H2" s="3"/>
      <c r="I2" s="3"/>
      <c r="J2" s="3"/>
      <c r="K2" s="3"/>
      <c r="L2" s="3"/>
      <c r="M2" s="3"/>
      <c r="N2" s="3"/>
      <c r="O2" s="3"/>
      <c r="P2" s="3"/>
      <c r="Q2" s="3"/>
      <c r="R2" s="3"/>
      <c r="S2" s="3"/>
      <c r="T2" s="3"/>
      <c r="U2" s="3"/>
      <c r="V2" s="3"/>
      <c r="W2" s="3"/>
      <c r="X2" s="3"/>
      <c r="Y2" s="3"/>
      <c r="Z2" s="3"/>
      <c r="AA2" s="3"/>
      <c r="AB2" s="3"/>
      <c r="AC2" s="3"/>
      <c r="AD2" s="3"/>
      <c r="AE2" s="3"/>
      <c r="AF2" s="3"/>
      <c r="AG2" s="3"/>
      <c r="AH2" s="3"/>
      <c r="AI2" s="3"/>
      <c r="AJ2" s="3"/>
      <c r="AK2" s="3"/>
      <c r="AL2" s="3"/>
      <c r="AM2" s="3"/>
      <c r="AN2" s="3"/>
      <c r="AO2" s="3"/>
      <c r="AP2" s="3"/>
      <c r="AQ2" s="3"/>
      <c r="AR2" s="3"/>
      <c r="AS2" s="3"/>
      <c r="AT2" s="3"/>
      <c r="AU2" s="3"/>
      <c r="AV2" s="3"/>
      <c r="AW2" s="3"/>
      <c r="AX2" s="3"/>
      <c r="AY2" s="3"/>
      <c r="AZ2" s="3"/>
      <c r="BA2" s="3"/>
      <c r="BB2" s="3"/>
      <c r="BC2" s="3"/>
      <c r="BD2" s="3"/>
      <c r="BE2" s="3"/>
      <c r="BF2" s="3"/>
      <c r="BG2" s="3"/>
      <c r="BH2" s="3"/>
      <c r="BI2" s="3"/>
      <c r="BJ2" s="3"/>
      <c r="BK2" s="3"/>
      <c r="BL2" s="3"/>
      <c r="BM2" s="3"/>
      <c r="BN2" s="3"/>
      <c r="BO2" s="3"/>
      <c r="BP2" s="3"/>
      <c r="BQ2" s="3"/>
      <c r="BR2" s="3"/>
      <c r="BS2" s="3"/>
      <c r="BT2" s="3"/>
      <c r="BU2" s="3"/>
      <c r="BV2" s="3"/>
      <c r="BW2" s="3"/>
      <c r="BX2" s="3"/>
      <c r="BY2" s="3"/>
      <c r="BZ2" s="3"/>
      <c r="CA2" s="3"/>
      <c r="CB2" s="3"/>
      <c r="CC2" s="3"/>
      <c r="CD2" s="3"/>
      <c r="CE2" s="3"/>
      <c r="CF2" s="3"/>
      <c r="CG2" s="5"/>
      <c r="CH2" s="3"/>
      <c r="CI2" s="3"/>
      <c r="CJ2" s="3"/>
      <c r="CK2" s="3"/>
      <c r="CL2" s="3"/>
      <c r="CM2" s="3"/>
      <c r="CN2" s="3"/>
      <c r="CO2" s="3"/>
      <c r="CP2" s="3"/>
      <c r="CQ2" s="3"/>
      <c r="CR2" s="3"/>
      <c r="CS2" s="3"/>
      <c r="CT2" s="3"/>
      <c r="CU2" s="3"/>
      <c r="CV2" s="3"/>
      <c r="CW2" s="3"/>
      <c r="CX2" s="3"/>
      <c r="CY2" s="3"/>
      <c r="CZ2" s="3"/>
      <c r="DA2" s="3"/>
      <c r="DB2" s="3"/>
      <c r="DC2" s="3"/>
      <c r="DD2" s="3"/>
      <c r="DE2" s="3"/>
      <c r="DF2" s="3"/>
      <c r="DG2" s="3"/>
      <c r="DH2" s="3"/>
      <c r="DI2" s="3"/>
      <c r="DJ2" s="3"/>
      <c r="DK2" s="3"/>
      <c r="DL2" s="3"/>
      <c r="DM2" s="3"/>
      <c r="DN2" s="3"/>
      <c r="DO2" s="3"/>
      <c r="DP2" s="3"/>
      <c r="DQ2" s="3"/>
      <c r="DR2" s="3"/>
      <c r="DS2" s="3"/>
      <c r="DT2" s="3"/>
      <c r="DU2" s="3"/>
      <c r="DV2" s="3"/>
      <c r="DW2" s="3"/>
      <c r="DX2" s="3"/>
      <c r="DY2" s="3"/>
      <c r="DZ2" s="3"/>
      <c r="EA2" s="3"/>
      <c r="EB2" s="3"/>
      <c r="EC2" s="3"/>
      <c r="ED2" s="3"/>
      <c r="EE2" s="3"/>
      <c r="EF2" s="3"/>
      <c r="EG2" s="3"/>
      <c r="EH2" s="3"/>
      <c r="EI2" s="3"/>
      <c r="EJ2" s="3"/>
      <c r="EK2" s="3"/>
      <c r="EL2" s="3"/>
      <c r="EM2" s="3"/>
      <c r="EN2" s="3"/>
      <c r="EO2" s="3"/>
      <c r="EP2" s="3"/>
      <c r="EQ2" s="3"/>
      <c r="ER2" s="3"/>
      <c r="ES2" s="3"/>
      <c r="ET2" s="3"/>
      <c r="EU2" s="3"/>
      <c r="EV2" s="3"/>
      <c r="EW2" s="3"/>
      <c r="EX2" s="3"/>
      <c r="EY2" s="3"/>
      <c r="EZ2" s="3"/>
      <c r="FA2" s="3"/>
      <c r="FB2" s="3"/>
    </row>
    <row r="3" spans="1:164" ht="15.75" thickBot="1" x14ac:dyDescent="0.3">
      <c r="A3" s="3"/>
      <c r="B3" s="93" t="s">
        <v>54</v>
      </c>
      <c r="C3" s="90" t="s">
        <v>57</v>
      </c>
      <c r="D3" s="87" t="s">
        <v>164</v>
      </c>
      <c r="E3" s="3"/>
      <c r="F3" s="3"/>
      <c r="G3" s="3"/>
      <c r="H3" s="3"/>
      <c r="I3" s="3"/>
      <c r="J3" s="3"/>
      <c r="K3" s="3"/>
      <c r="L3" s="3"/>
      <c r="M3" s="3"/>
      <c r="N3" s="3"/>
      <c r="O3" s="3"/>
      <c r="P3" s="3"/>
      <c r="Q3" s="3"/>
      <c r="R3" s="3"/>
      <c r="S3" s="3"/>
      <c r="T3" s="3"/>
      <c r="U3" s="3"/>
      <c r="V3" s="3"/>
      <c r="W3" s="3"/>
      <c r="X3" s="3"/>
      <c r="Y3" s="3"/>
      <c r="Z3" s="3"/>
      <c r="AA3" s="3"/>
      <c r="AB3" s="3"/>
      <c r="AC3" s="3"/>
      <c r="AD3" s="3"/>
      <c r="AE3" s="3"/>
      <c r="AF3" s="3"/>
      <c r="AG3" s="3"/>
      <c r="AH3" s="3"/>
      <c r="AI3" s="3"/>
      <c r="AJ3" s="3"/>
      <c r="AK3" s="3"/>
      <c r="AL3" s="3"/>
      <c r="AM3" s="3"/>
      <c r="AN3" s="3"/>
      <c r="AO3" s="3"/>
      <c r="AP3" s="3"/>
      <c r="AQ3" s="3"/>
      <c r="AR3" s="3"/>
      <c r="AS3" s="3"/>
      <c r="AT3" s="3"/>
      <c r="AU3" s="3"/>
      <c r="AV3" s="3"/>
      <c r="AW3" s="3"/>
      <c r="AX3" s="3"/>
      <c r="AY3" s="3"/>
      <c r="AZ3" s="3"/>
      <c r="BA3" s="3"/>
      <c r="BB3" s="3"/>
      <c r="BC3" s="3"/>
      <c r="BD3" s="3"/>
      <c r="BE3" s="3"/>
      <c r="BF3" s="3"/>
      <c r="BG3" s="3"/>
      <c r="BH3" s="3"/>
      <c r="BI3" s="3"/>
      <c r="BJ3" s="3"/>
      <c r="BK3" s="3"/>
      <c r="BL3" s="3"/>
      <c r="BM3" s="3"/>
      <c r="BN3" s="3"/>
      <c r="BO3" s="3"/>
      <c r="BP3" s="3"/>
      <c r="BQ3" s="3"/>
      <c r="BR3" s="3"/>
      <c r="BS3" s="3"/>
      <c r="BT3" s="3"/>
      <c r="BU3" s="3"/>
      <c r="BV3" s="3"/>
      <c r="BW3" s="3"/>
      <c r="BX3" s="3"/>
      <c r="BY3" s="3"/>
      <c r="BZ3" s="3"/>
      <c r="CA3" s="3"/>
      <c r="CB3" s="3"/>
      <c r="CC3" s="3"/>
      <c r="CD3" s="3"/>
      <c r="CE3" s="3"/>
      <c r="CF3" s="3"/>
      <c r="CG3" s="5"/>
      <c r="CH3" s="3"/>
      <c r="CI3" s="3"/>
      <c r="CJ3" s="3"/>
      <c r="CK3" s="3"/>
      <c r="CL3" s="3"/>
      <c r="CM3" s="3"/>
      <c r="CN3" s="3"/>
      <c r="CO3" s="3"/>
      <c r="CP3" s="3"/>
      <c r="CQ3" s="3"/>
      <c r="CR3" s="3"/>
      <c r="CS3" s="3"/>
      <c r="CT3" s="3"/>
      <c r="CU3" s="3"/>
      <c r="CV3" s="3"/>
      <c r="CW3" s="3"/>
      <c r="CX3" s="3"/>
      <c r="CY3" s="3"/>
      <c r="CZ3" s="3"/>
      <c r="DA3" s="3"/>
      <c r="DB3" s="3"/>
      <c r="DC3" s="3"/>
      <c r="DD3" s="3"/>
      <c r="DE3" s="3"/>
      <c r="DF3" s="3"/>
      <c r="DG3" s="3"/>
      <c r="DH3" s="3"/>
      <c r="DI3" s="3"/>
      <c r="DJ3" s="3"/>
      <c r="DK3" s="3"/>
      <c r="DL3" s="3"/>
      <c r="DM3" s="3"/>
      <c r="DN3" s="3"/>
      <c r="DO3" s="3"/>
      <c r="DP3" s="3"/>
      <c r="DQ3" s="3"/>
      <c r="DR3" s="3"/>
      <c r="DS3" s="3"/>
      <c r="DT3" s="3"/>
      <c r="DU3" s="3"/>
      <c r="DV3" s="3"/>
      <c r="DW3" s="3"/>
      <c r="DX3" s="3"/>
      <c r="DY3" s="3"/>
      <c r="DZ3" s="3"/>
      <c r="EA3" s="3"/>
      <c r="EB3" s="3"/>
      <c r="EC3" s="3"/>
      <c r="ED3" s="3"/>
      <c r="EE3" s="3"/>
      <c r="EF3" s="3"/>
      <c r="EG3" s="3"/>
      <c r="EH3" s="3"/>
      <c r="EI3" s="3"/>
      <c r="EJ3" s="3"/>
      <c r="EK3" s="3"/>
      <c r="EL3" s="3"/>
      <c r="EM3" s="3"/>
      <c r="EN3" s="3"/>
      <c r="EO3" s="3"/>
      <c r="EP3" s="3"/>
      <c r="EQ3" s="3"/>
      <c r="ER3" s="3"/>
      <c r="ES3" s="3"/>
      <c r="ET3" s="3"/>
      <c r="EU3" s="3"/>
      <c r="EV3" s="3"/>
      <c r="EW3" s="3"/>
      <c r="EX3" s="3"/>
      <c r="EY3" s="3"/>
      <c r="EZ3" s="3"/>
      <c r="FA3" s="3"/>
      <c r="FB3" s="3"/>
    </row>
    <row r="4" spans="1:164" ht="15.75" thickBot="1" x14ac:dyDescent="0.3">
      <c r="A4" s="3"/>
      <c r="B4" s="3"/>
      <c r="C4" s="3"/>
      <c r="D4" s="3"/>
      <c r="E4" s="3"/>
      <c r="F4" s="3"/>
      <c r="G4" s="3"/>
      <c r="H4" s="3"/>
      <c r="I4" s="3"/>
      <c r="J4" s="3"/>
      <c r="K4" s="3"/>
      <c r="L4" s="3"/>
      <c r="M4" s="3"/>
      <c r="N4" s="3"/>
      <c r="O4" s="3"/>
      <c r="P4" s="3"/>
      <c r="Q4" s="3"/>
      <c r="R4" s="3"/>
      <c r="S4" s="3"/>
      <c r="T4" s="3"/>
      <c r="U4" s="3"/>
      <c r="V4" s="3"/>
      <c r="W4" s="3"/>
      <c r="X4" s="3"/>
      <c r="Y4" s="3"/>
      <c r="Z4" s="3"/>
      <c r="AA4" s="3"/>
      <c r="AB4" s="3"/>
      <c r="AC4" s="3"/>
      <c r="AD4" s="3"/>
      <c r="AE4" s="3"/>
      <c r="AF4" s="3"/>
      <c r="AG4" s="3"/>
      <c r="AH4" s="3"/>
      <c r="AI4" s="3"/>
      <c r="AJ4" s="3"/>
      <c r="AK4" s="3"/>
      <c r="AL4" s="3"/>
      <c r="AM4" s="3"/>
      <c r="AN4" s="3"/>
      <c r="AO4" s="3"/>
      <c r="AP4" s="3"/>
      <c r="AQ4" s="3"/>
      <c r="AR4" s="3"/>
      <c r="AS4" s="3"/>
      <c r="AT4" s="3"/>
      <c r="AU4" s="3"/>
      <c r="AV4" s="3"/>
      <c r="AW4" s="3"/>
      <c r="AX4" s="3"/>
      <c r="AY4" s="3"/>
      <c r="AZ4" s="3"/>
      <c r="BA4" s="3"/>
      <c r="BB4" s="3"/>
      <c r="BC4" s="3"/>
      <c r="BD4" s="3"/>
      <c r="BE4" s="3"/>
      <c r="BF4" s="3"/>
      <c r="BG4" s="3"/>
      <c r="BH4" s="3"/>
      <c r="BI4" s="3"/>
      <c r="BJ4" s="3"/>
      <c r="BK4" s="3"/>
      <c r="BL4" s="3"/>
      <c r="BM4" s="3"/>
      <c r="BN4" s="3"/>
      <c r="BO4" s="3"/>
      <c r="BP4" s="3"/>
      <c r="BQ4" s="3"/>
      <c r="BR4" s="3"/>
      <c r="BS4" s="3"/>
      <c r="BT4" s="3"/>
      <c r="BU4" s="3"/>
      <c r="BV4" s="3"/>
      <c r="BW4" s="3"/>
      <c r="BX4" s="3"/>
      <c r="BY4" s="3"/>
      <c r="BZ4" s="3"/>
      <c r="CA4" s="3"/>
      <c r="CB4" s="3"/>
      <c r="CC4" s="3"/>
      <c r="CD4" s="3"/>
      <c r="CE4" s="3"/>
      <c r="CF4" s="3"/>
      <c r="CG4" s="3"/>
      <c r="CH4" s="3"/>
      <c r="CI4" s="3"/>
      <c r="CJ4" s="3"/>
      <c r="CK4" s="3"/>
      <c r="CL4" s="3"/>
      <c r="CM4" s="3"/>
      <c r="CN4" s="3"/>
      <c r="CO4" s="3"/>
      <c r="CP4" s="3"/>
      <c r="CQ4" s="3"/>
      <c r="CR4" s="3"/>
      <c r="CS4" s="3"/>
      <c r="CT4" s="3"/>
      <c r="CU4" s="3"/>
      <c r="CV4" s="3"/>
      <c r="CW4" s="3"/>
      <c r="CX4" s="3"/>
      <c r="CY4" s="3"/>
      <c r="CZ4" s="3"/>
      <c r="DA4" s="3"/>
      <c r="DB4" s="3"/>
      <c r="DC4" s="3"/>
      <c r="DD4" s="3"/>
      <c r="DE4" s="3"/>
      <c r="DF4" s="3"/>
      <c r="DG4" s="3"/>
      <c r="DH4" s="3"/>
      <c r="DI4" s="3"/>
      <c r="DJ4" s="3"/>
      <c r="DK4" s="3"/>
      <c r="DL4" s="3"/>
      <c r="DM4" s="3"/>
      <c r="DN4" s="3"/>
      <c r="DO4" s="3"/>
      <c r="DP4" s="3"/>
      <c r="DQ4" s="3"/>
      <c r="DR4" s="3"/>
      <c r="DS4" s="3"/>
      <c r="DT4" s="3"/>
      <c r="DU4" s="3"/>
      <c r="DV4" s="3"/>
      <c r="DW4" s="3"/>
      <c r="DX4" s="3"/>
      <c r="DY4" s="3"/>
      <c r="DZ4" s="3"/>
      <c r="EA4" s="3"/>
      <c r="EB4" s="3"/>
      <c r="EC4" s="3"/>
      <c r="ED4" s="3"/>
      <c r="EE4" s="3"/>
      <c r="EF4" s="3"/>
      <c r="EG4" s="3"/>
      <c r="EH4" s="3"/>
      <c r="EI4" s="3"/>
      <c r="EJ4" s="3"/>
      <c r="EK4" s="3"/>
      <c r="EL4" s="3"/>
      <c r="EM4" s="3"/>
      <c r="EN4" s="3"/>
      <c r="EO4" s="3"/>
      <c r="EP4" s="3"/>
      <c r="EQ4" s="3"/>
      <c r="ER4" s="3"/>
      <c r="ES4" s="3"/>
      <c r="ET4" s="3"/>
      <c r="EU4" s="3"/>
      <c r="EV4" s="3"/>
      <c r="EW4" s="3"/>
      <c r="EX4" s="3"/>
      <c r="EY4" s="3"/>
      <c r="EZ4" s="3"/>
      <c r="FA4" s="3"/>
      <c r="FB4" s="3"/>
    </row>
    <row r="5" spans="1:164" ht="30.75" customHeight="1" thickBot="1" x14ac:dyDescent="0.3">
      <c r="A5" s="3"/>
      <c r="B5" s="101" t="s">
        <v>156</v>
      </c>
      <c r="C5" s="102"/>
      <c r="D5" s="101" t="s">
        <v>155</v>
      </c>
      <c r="E5" s="102"/>
      <c r="F5" s="102"/>
      <c r="G5" s="102"/>
      <c r="H5" s="103"/>
      <c r="I5" s="3"/>
      <c r="J5" s="107" t="s">
        <v>51</v>
      </c>
      <c r="K5" s="108"/>
      <c r="L5" s="3"/>
      <c r="M5" s="3"/>
      <c r="N5" s="3"/>
      <c r="O5" s="3"/>
      <c r="P5" s="3"/>
      <c r="Q5" s="3"/>
      <c r="R5" s="3"/>
      <c r="S5" s="3"/>
      <c r="T5" s="3"/>
      <c r="U5" s="109" t="s">
        <v>154</v>
      </c>
      <c r="V5" s="110"/>
      <c r="W5" s="113" t="s">
        <v>49</v>
      </c>
      <c r="X5" s="114"/>
      <c r="Y5" s="114"/>
      <c r="Z5" s="114"/>
      <c r="AA5" s="114"/>
      <c r="AB5" s="114"/>
      <c r="AC5" s="114"/>
      <c r="AD5" s="114"/>
      <c r="AE5" s="114"/>
      <c r="AF5" s="114"/>
      <c r="AG5" s="114"/>
      <c r="AH5" s="114"/>
      <c r="AI5" s="114"/>
      <c r="AJ5" s="114"/>
      <c r="AK5" s="114"/>
      <c r="AL5" s="114"/>
      <c r="AM5" s="114"/>
      <c r="AN5" s="114"/>
      <c r="AO5" s="115"/>
      <c r="AP5" s="113" t="s">
        <v>50</v>
      </c>
      <c r="AQ5" s="114"/>
      <c r="AR5" s="114"/>
      <c r="AS5" s="114"/>
      <c r="AT5" s="114"/>
      <c r="AU5" s="114"/>
      <c r="AV5" s="114"/>
      <c r="AW5" s="114"/>
      <c r="AX5" s="114"/>
      <c r="AY5" s="114"/>
      <c r="AZ5" s="114"/>
      <c r="BA5" s="114"/>
      <c r="BB5" s="114"/>
      <c r="BC5" s="114"/>
      <c r="BD5" s="114"/>
      <c r="BE5" s="114"/>
      <c r="BF5" s="114"/>
      <c r="BG5" s="114"/>
      <c r="BH5" s="115"/>
      <c r="BI5" s="113" t="s">
        <v>10</v>
      </c>
      <c r="BJ5" s="114"/>
      <c r="BK5" s="114"/>
      <c r="BL5" s="114"/>
      <c r="BM5" s="114"/>
      <c r="BN5" s="114"/>
      <c r="BO5" s="114"/>
      <c r="BP5" s="114"/>
      <c r="BQ5" s="114"/>
      <c r="BR5" s="114"/>
      <c r="BS5" s="114"/>
      <c r="BT5" s="114"/>
      <c r="BU5" s="114"/>
      <c r="BV5" s="114"/>
      <c r="BW5" s="114"/>
      <c r="BX5" s="114"/>
      <c r="BY5" s="114"/>
      <c r="BZ5" s="114"/>
      <c r="CA5" s="115"/>
      <c r="CB5" s="113" t="s">
        <v>9</v>
      </c>
      <c r="CC5" s="114"/>
      <c r="CD5" s="114"/>
      <c r="CE5" s="115"/>
      <c r="CF5" s="6" t="s">
        <v>116</v>
      </c>
      <c r="CG5" s="3"/>
      <c r="CH5" s="111" t="s">
        <v>52</v>
      </c>
      <c r="CI5" s="112"/>
      <c r="CJ5" s="116" t="s">
        <v>49</v>
      </c>
      <c r="CK5" s="117"/>
      <c r="CL5" s="117"/>
      <c r="CM5" s="117"/>
      <c r="CN5" s="117"/>
      <c r="CO5" s="117"/>
      <c r="CP5" s="117"/>
      <c r="CQ5" s="117"/>
      <c r="CR5" s="117"/>
      <c r="CS5" s="117"/>
      <c r="CT5" s="117"/>
      <c r="CU5" s="117"/>
      <c r="CV5" s="117"/>
      <c r="CW5" s="117"/>
      <c r="CX5" s="117"/>
      <c r="CY5" s="117"/>
      <c r="CZ5" s="117"/>
      <c r="DA5" s="117"/>
      <c r="DB5" s="118"/>
      <c r="DC5" s="116" t="s">
        <v>50</v>
      </c>
      <c r="DD5" s="117"/>
      <c r="DE5" s="117"/>
      <c r="DF5" s="117"/>
      <c r="DG5" s="117"/>
      <c r="DH5" s="117"/>
      <c r="DI5" s="117"/>
      <c r="DJ5" s="117"/>
      <c r="DK5" s="117"/>
      <c r="DL5" s="117"/>
      <c r="DM5" s="117"/>
      <c r="DN5" s="117"/>
      <c r="DO5" s="117"/>
      <c r="DP5" s="117"/>
      <c r="DQ5" s="117"/>
      <c r="DR5" s="117"/>
      <c r="DS5" s="117"/>
      <c r="DT5" s="117"/>
      <c r="DU5" s="118"/>
      <c r="DV5" s="116" t="s">
        <v>10</v>
      </c>
      <c r="DW5" s="117"/>
      <c r="DX5" s="117"/>
      <c r="DY5" s="117"/>
      <c r="DZ5" s="117"/>
      <c r="EA5" s="117"/>
      <c r="EB5" s="117"/>
      <c r="EC5" s="117"/>
      <c r="ED5" s="117"/>
      <c r="EE5" s="117"/>
      <c r="EF5" s="117"/>
      <c r="EG5" s="117"/>
      <c r="EH5" s="117"/>
      <c r="EI5" s="117"/>
      <c r="EJ5" s="117"/>
      <c r="EK5" s="117"/>
      <c r="EL5" s="117"/>
      <c r="EM5" s="117"/>
      <c r="EN5" s="117"/>
      <c r="EO5" s="116" t="s">
        <v>9</v>
      </c>
      <c r="EP5" s="117"/>
      <c r="EQ5" s="117"/>
      <c r="ER5" s="118"/>
      <c r="ES5" s="7"/>
      <c r="ET5" s="3"/>
      <c r="EU5" s="101" t="s">
        <v>54</v>
      </c>
      <c r="EV5" s="102"/>
      <c r="EW5" s="103"/>
      <c r="EX5" s="3"/>
      <c r="EY5" s="3"/>
      <c r="EZ5" s="3"/>
      <c r="FA5" s="3"/>
      <c r="FB5" s="3"/>
    </row>
    <row r="6" spans="1:164" s="32" customFormat="1" ht="32.25" customHeight="1" thickBot="1" x14ac:dyDescent="0.3">
      <c r="A6" s="8"/>
      <c r="B6" s="9" t="s">
        <v>0</v>
      </c>
      <c r="C6" s="9" t="s">
        <v>59</v>
      </c>
      <c r="D6" s="81" t="s">
        <v>58</v>
      </c>
      <c r="E6" s="10" t="s">
        <v>53</v>
      </c>
      <c r="F6" s="11" t="s">
        <v>117</v>
      </c>
      <c r="G6" s="12" t="s">
        <v>118</v>
      </c>
      <c r="H6" s="82" t="s">
        <v>119</v>
      </c>
      <c r="I6" s="8"/>
      <c r="J6" s="13" t="s">
        <v>10</v>
      </c>
      <c r="K6" s="14" t="s">
        <v>84</v>
      </c>
      <c r="L6" s="15" t="s">
        <v>78</v>
      </c>
      <c r="M6" s="15" t="s">
        <v>79</v>
      </c>
      <c r="N6" s="15" t="s">
        <v>80</v>
      </c>
      <c r="O6" s="15" t="s">
        <v>8</v>
      </c>
      <c r="P6" s="15" t="s">
        <v>9</v>
      </c>
      <c r="Q6" s="15" t="s">
        <v>81</v>
      </c>
      <c r="R6" s="15" t="s">
        <v>82</v>
      </c>
      <c r="S6" s="16" t="s">
        <v>83</v>
      </c>
      <c r="T6" s="8"/>
      <c r="U6" s="17" t="s">
        <v>10</v>
      </c>
      <c r="V6" s="18" t="s">
        <v>84</v>
      </c>
      <c r="W6" s="17" t="s">
        <v>85</v>
      </c>
      <c r="X6" s="19" t="s">
        <v>60</v>
      </c>
      <c r="Y6" s="19" t="s">
        <v>61</v>
      </c>
      <c r="Z6" s="19" t="s">
        <v>62</v>
      </c>
      <c r="AA6" s="19" t="s">
        <v>63</v>
      </c>
      <c r="AB6" s="19" t="s">
        <v>64</v>
      </c>
      <c r="AC6" s="19" t="s">
        <v>65</v>
      </c>
      <c r="AD6" s="19" t="s">
        <v>66</v>
      </c>
      <c r="AE6" s="19" t="s">
        <v>67</v>
      </c>
      <c r="AF6" s="19" t="s">
        <v>68</v>
      </c>
      <c r="AG6" s="19" t="s">
        <v>69</v>
      </c>
      <c r="AH6" s="19" t="s">
        <v>70</v>
      </c>
      <c r="AI6" s="19" t="s">
        <v>71</v>
      </c>
      <c r="AJ6" s="19" t="s">
        <v>72</v>
      </c>
      <c r="AK6" s="19" t="s">
        <v>73</v>
      </c>
      <c r="AL6" s="19" t="s">
        <v>74</v>
      </c>
      <c r="AM6" s="19" t="s">
        <v>75</v>
      </c>
      <c r="AN6" s="19" t="s">
        <v>76</v>
      </c>
      <c r="AO6" s="20" t="s">
        <v>77</v>
      </c>
      <c r="AP6" s="21" t="s">
        <v>11</v>
      </c>
      <c r="AQ6" s="22" t="s">
        <v>12</v>
      </c>
      <c r="AR6" s="22" t="s">
        <v>13</v>
      </c>
      <c r="AS6" s="22" t="s">
        <v>14</v>
      </c>
      <c r="AT6" s="22" t="s">
        <v>15</v>
      </c>
      <c r="AU6" s="22" t="s">
        <v>16</v>
      </c>
      <c r="AV6" s="22" t="s">
        <v>17</v>
      </c>
      <c r="AW6" s="22" t="s">
        <v>18</v>
      </c>
      <c r="AX6" s="22" t="s">
        <v>19</v>
      </c>
      <c r="AY6" s="22" t="s">
        <v>20</v>
      </c>
      <c r="AZ6" s="22" t="s">
        <v>21</v>
      </c>
      <c r="BA6" s="22" t="s">
        <v>22</v>
      </c>
      <c r="BB6" s="22" t="s">
        <v>23</v>
      </c>
      <c r="BC6" s="22" t="s">
        <v>24</v>
      </c>
      <c r="BD6" s="22" t="s">
        <v>25</v>
      </c>
      <c r="BE6" s="22" t="s">
        <v>26</v>
      </c>
      <c r="BF6" s="22" t="s">
        <v>27</v>
      </c>
      <c r="BG6" s="22" t="s">
        <v>28</v>
      </c>
      <c r="BH6" s="23" t="s">
        <v>29</v>
      </c>
      <c r="BI6" s="21" t="s">
        <v>30</v>
      </c>
      <c r="BJ6" s="22" t="s">
        <v>31</v>
      </c>
      <c r="BK6" s="22" t="s">
        <v>32</v>
      </c>
      <c r="BL6" s="22" t="s">
        <v>33</v>
      </c>
      <c r="BM6" s="22" t="s">
        <v>34</v>
      </c>
      <c r="BN6" s="22" t="s">
        <v>35</v>
      </c>
      <c r="BO6" s="22" t="s">
        <v>36</v>
      </c>
      <c r="BP6" s="22" t="s">
        <v>37</v>
      </c>
      <c r="BQ6" s="22" t="s">
        <v>38</v>
      </c>
      <c r="BR6" s="22" t="s">
        <v>39</v>
      </c>
      <c r="BS6" s="22" t="s">
        <v>40</v>
      </c>
      <c r="BT6" s="22" t="s">
        <v>41</v>
      </c>
      <c r="BU6" s="22" t="s">
        <v>42</v>
      </c>
      <c r="BV6" s="22" t="s">
        <v>43</v>
      </c>
      <c r="BW6" s="22" t="s">
        <v>44</v>
      </c>
      <c r="BX6" s="22" t="s">
        <v>45</v>
      </c>
      <c r="BY6" s="22" t="s">
        <v>46</v>
      </c>
      <c r="BZ6" s="22" t="s">
        <v>47</v>
      </c>
      <c r="CA6" s="23" t="s">
        <v>48</v>
      </c>
      <c r="CB6" s="24" t="s">
        <v>114</v>
      </c>
      <c r="CC6" s="22" t="s">
        <v>81</v>
      </c>
      <c r="CD6" s="22" t="s">
        <v>115</v>
      </c>
      <c r="CE6" s="14" t="s">
        <v>83</v>
      </c>
      <c r="CF6" s="25" t="s">
        <v>86</v>
      </c>
      <c r="CG6" s="8"/>
      <c r="CH6" s="17" t="s">
        <v>10</v>
      </c>
      <c r="CI6" s="26" t="s">
        <v>84</v>
      </c>
      <c r="CJ6" s="17" t="s">
        <v>85</v>
      </c>
      <c r="CK6" s="19" t="s">
        <v>87</v>
      </c>
      <c r="CL6" s="19" t="s">
        <v>60</v>
      </c>
      <c r="CM6" s="19" t="s">
        <v>88</v>
      </c>
      <c r="CN6" s="19" t="s">
        <v>61</v>
      </c>
      <c r="CO6" s="19" t="s">
        <v>89</v>
      </c>
      <c r="CP6" s="19" t="s">
        <v>62</v>
      </c>
      <c r="CQ6" s="19" t="s">
        <v>90</v>
      </c>
      <c r="CR6" s="19" t="s">
        <v>63</v>
      </c>
      <c r="CS6" s="19" t="s">
        <v>91</v>
      </c>
      <c r="CT6" s="19" t="s">
        <v>64</v>
      </c>
      <c r="CU6" s="19" t="s">
        <v>92</v>
      </c>
      <c r="CV6" s="19" t="s">
        <v>65</v>
      </c>
      <c r="CW6" s="19" t="s">
        <v>93</v>
      </c>
      <c r="CX6" s="19" t="s">
        <v>66</v>
      </c>
      <c r="CY6" s="19" t="s">
        <v>94</v>
      </c>
      <c r="CZ6" s="19" t="s">
        <v>67</v>
      </c>
      <c r="DA6" s="19" t="s">
        <v>95</v>
      </c>
      <c r="DB6" s="27" t="s">
        <v>68</v>
      </c>
      <c r="DC6" s="21" t="s">
        <v>11</v>
      </c>
      <c r="DD6" s="22" t="s">
        <v>96</v>
      </c>
      <c r="DE6" s="22" t="s">
        <v>12</v>
      </c>
      <c r="DF6" s="22" t="s">
        <v>97</v>
      </c>
      <c r="DG6" s="22" t="s">
        <v>13</v>
      </c>
      <c r="DH6" s="22" t="s">
        <v>98</v>
      </c>
      <c r="DI6" s="22" t="s">
        <v>14</v>
      </c>
      <c r="DJ6" s="22" t="s">
        <v>99</v>
      </c>
      <c r="DK6" s="22" t="s">
        <v>15</v>
      </c>
      <c r="DL6" s="22" t="s">
        <v>100</v>
      </c>
      <c r="DM6" s="22" t="s">
        <v>16</v>
      </c>
      <c r="DN6" s="22" t="s">
        <v>101</v>
      </c>
      <c r="DO6" s="22" t="s">
        <v>17</v>
      </c>
      <c r="DP6" s="22" t="s">
        <v>102</v>
      </c>
      <c r="DQ6" s="22" t="s">
        <v>18</v>
      </c>
      <c r="DR6" s="22" t="s">
        <v>103</v>
      </c>
      <c r="DS6" s="22" t="s">
        <v>19</v>
      </c>
      <c r="DT6" s="22" t="s">
        <v>104</v>
      </c>
      <c r="DU6" s="23" t="s">
        <v>20</v>
      </c>
      <c r="DV6" s="13" t="s">
        <v>30</v>
      </c>
      <c r="DW6" s="28" t="s">
        <v>105</v>
      </c>
      <c r="DX6" s="28" t="s">
        <v>31</v>
      </c>
      <c r="DY6" s="28" t="s">
        <v>106</v>
      </c>
      <c r="DZ6" s="28" t="s">
        <v>32</v>
      </c>
      <c r="EA6" s="28" t="s">
        <v>107</v>
      </c>
      <c r="EB6" s="28" t="s">
        <v>33</v>
      </c>
      <c r="EC6" s="28" t="s">
        <v>108</v>
      </c>
      <c r="ED6" s="28" t="s">
        <v>34</v>
      </c>
      <c r="EE6" s="28" t="s">
        <v>109</v>
      </c>
      <c r="EF6" s="28" t="s">
        <v>35</v>
      </c>
      <c r="EG6" s="28" t="s">
        <v>110</v>
      </c>
      <c r="EH6" s="28" t="s">
        <v>36</v>
      </c>
      <c r="EI6" s="28" t="s">
        <v>111</v>
      </c>
      <c r="EJ6" s="28" t="s">
        <v>37</v>
      </c>
      <c r="EK6" s="28" t="s">
        <v>112</v>
      </c>
      <c r="EL6" s="28" t="s">
        <v>38</v>
      </c>
      <c r="EM6" s="28" t="s">
        <v>113</v>
      </c>
      <c r="EN6" s="28" t="s">
        <v>39</v>
      </c>
      <c r="EO6" s="13" t="s">
        <v>9</v>
      </c>
      <c r="EP6" s="28" t="s">
        <v>81</v>
      </c>
      <c r="EQ6" s="28" t="s">
        <v>82</v>
      </c>
      <c r="ER6" s="14" t="s">
        <v>83</v>
      </c>
      <c r="ES6" s="25" t="s">
        <v>86</v>
      </c>
      <c r="ET6" s="8"/>
      <c r="EU6" s="29" t="s">
        <v>120</v>
      </c>
      <c r="EV6" s="30" t="s">
        <v>55</v>
      </c>
      <c r="EW6" s="31" t="s">
        <v>56</v>
      </c>
      <c r="EX6" s="3"/>
      <c r="EY6" s="8"/>
      <c r="EZ6" s="8"/>
      <c r="FA6" s="8"/>
      <c r="FB6" s="8"/>
      <c r="FC6" s="8"/>
      <c r="FD6" s="8"/>
      <c r="FE6" s="8"/>
      <c r="FF6" s="8"/>
      <c r="FG6" s="8"/>
      <c r="FH6" s="8"/>
    </row>
    <row r="7" spans="1:164" x14ac:dyDescent="0.25">
      <c r="A7" s="3"/>
      <c r="B7" s="67" t="s">
        <v>1</v>
      </c>
      <c r="C7" s="85">
        <v>6</v>
      </c>
      <c r="D7" s="83">
        <f>Grunddaten[[#This Row],[Sitze im Hauptorgan]]/Grunddaten[[#Totals],[Sitze im Hauptorgan]]*Sitze_Ausschuss</f>
        <v>2.75</v>
      </c>
      <c r="E7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2 oder 3</v>
      </c>
      <c r="F7" s="34" t="str">
        <f t="shared" ref="F7:F21" si="0">"OK"</f>
        <v>OK</v>
      </c>
      <c r="G7" s="35" t="str">
        <f>IF(TabSLS[[#This Row],[QK verletzt]],"NOK","OK")</f>
        <v>OK</v>
      </c>
      <c r="H7" s="36" t="str">
        <f>IF(TabDH[[#This Row],[QK verletzt]],"NOK","OK")</f>
        <v>NOK</v>
      </c>
      <c r="I7" s="3"/>
      <c r="J7" s="37">
        <f>TabHN[[#This Row],[S ganz]]+IF(NOT(TabHN[[#This Row],[Patt]]),TabHN[[#This Row],[Restsitz]],0)</f>
        <v>3</v>
      </c>
      <c r="K7" s="38">
        <f>IF(TabHN[[#This Row],[Patt]],IF(Pattaufloesung="Los-Chance",TabHN[[#This Row],[Los Chance]],TabHN[[#This Row],[Pattgewinn]]+0),0)</f>
        <v>0</v>
      </c>
      <c r="L7" s="39">
        <f>INT(Grunddaten[[#This Row],[Proporzgenaue Zahl Ausschuss]])</f>
        <v>2</v>
      </c>
      <c r="M7" s="40">
        <f>ROUND(Grunddaten[[#This Row],[Proporzgenaue Zahl Ausschuss]]-TabHN[[#This Row],[S ganz]],4)</f>
        <v>0.75</v>
      </c>
      <c r="N7" s="41">
        <f>_xlfn.RANK.EQ(TabHN[[#This Row],[S Rest]],TabHN[S Rest],0)</f>
        <v>3</v>
      </c>
      <c r="O7" s="39">
        <f>IF(TabHN[[#This Row],[Rng Rest]]&lt;=TabHN[[#Totals],[S Rest]],1,0)</f>
        <v>1</v>
      </c>
      <c r="P7" s="39" t="b">
        <f>AND(TabHN[[#This Row],[Restsitz]]=1,(COUNTIF(TabHN[Rng Rest],TabHN[[#This Row],[Rng Rest]])+TabHN[[#This Row],[Rng Rest]]-1)&gt;TabHN[[#Totals],[S Rest]])</f>
        <v>0</v>
      </c>
      <c r="Q7" s="42">
        <f>IF(TabHN[[#This Row],[Patt]],(Sitze_Ausschuss-SUM(TabHN[Sitze]))/TabHN[[#Totals],[Patt]],0)</f>
        <v>0</v>
      </c>
      <c r="R7" s="43">
        <f>TabHN[[#This Row],[Patt]]*IF(Pattaufloesung="Stimmen",TabPatt[[#This Row],[Stimmen]],TabPatt[[#This Row],[Loserfolg]])*1</f>
        <v>0</v>
      </c>
      <c r="S7" s="44" t="b">
        <f>_xlfn.RANK.EQ(TabHN[[#This Row],[Stimmen/Gelost]],TabHN[Stimmen/Gelost],0)&lt;=(Sitze_Ausschuss-SUM(TabHN[Sitze]))</f>
        <v>1</v>
      </c>
      <c r="T7" s="3"/>
      <c r="U7" s="45">
        <f>COUNTIF(TabSLS[[#This Row],[SP1]:[SP37]],"SITZ")</f>
        <v>3</v>
      </c>
      <c r="V7" s="46">
        <f>IF(TabSLS[[#This Row],[Patt?]],IF(Pattaufloesung="Los-Chance",TabSLS[[#This Row],[Los Chance]],TabSLS[[#This Row],[Pattgewinn]]+0),0)</f>
        <v>0</v>
      </c>
      <c r="W7" s="47">
        <f>Grunddaten[[#This Row],[Sitze im Hauptorgan]]/_xlfn.NUMBERVALUE(MID(INDEX(TabSLS[[#Headers],[:1]:[:37]],COLUMN()-COLUMN(TabSLS[[#Headers],[:1]])+1),2,3))</f>
        <v>6</v>
      </c>
      <c r="X7" s="48">
        <f>Grunddaten[[#This Row],[Sitze im Hauptorgan]]/_xlfn.NUMBERVALUE(MID(INDEX(TabSLS[[#Headers],[:1]:[:37]],COLUMN()-COLUMN(TabSLS[[#Headers],[:1]])+1),2,3))</f>
        <v>2</v>
      </c>
      <c r="Y7" s="48">
        <f>Grunddaten[[#This Row],[Sitze im Hauptorgan]]/_xlfn.NUMBERVALUE(MID(INDEX(TabSLS[[#Headers],[:1]:[:37]],COLUMN()-COLUMN(TabSLS[[#Headers],[:1]])+1),2,3))</f>
        <v>1.2</v>
      </c>
      <c r="Z7" s="48">
        <f>Grunddaten[[#This Row],[Sitze im Hauptorgan]]/_xlfn.NUMBERVALUE(MID(INDEX(TabSLS[[#Headers],[:1]:[:37]],COLUMN()-COLUMN(TabSLS[[#Headers],[:1]])+1),2,3))</f>
        <v>0.8571428571428571</v>
      </c>
      <c r="AA7" s="48">
        <f>Grunddaten[[#This Row],[Sitze im Hauptorgan]]/_xlfn.NUMBERVALUE(MID(INDEX(TabSLS[[#Headers],[:1]:[:37]],COLUMN()-COLUMN(TabSLS[[#Headers],[:1]])+1),2,3))</f>
        <v>0.66666666666666663</v>
      </c>
      <c r="AB7" s="48">
        <f>Grunddaten[[#This Row],[Sitze im Hauptorgan]]/_xlfn.NUMBERVALUE(MID(INDEX(TabSLS[[#Headers],[:1]:[:37]],COLUMN()-COLUMN(TabSLS[[#Headers],[:1]])+1),2,3))</f>
        <v>0.54545454545454541</v>
      </c>
      <c r="AC7" s="48">
        <f>Grunddaten[[#This Row],[Sitze im Hauptorgan]]/_xlfn.NUMBERVALUE(MID(INDEX(TabSLS[[#Headers],[:1]:[:37]],COLUMN()-COLUMN(TabSLS[[#Headers],[:1]])+1),2,3))</f>
        <v>0.46153846153846156</v>
      </c>
      <c r="AD7" s="48">
        <f>Grunddaten[[#This Row],[Sitze im Hauptorgan]]/_xlfn.NUMBERVALUE(MID(INDEX(TabSLS[[#Headers],[:1]:[:37]],COLUMN()-COLUMN(TabSLS[[#Headers],[:1]])+1),2,3))</f>
        <v>0.4</v>
      </c>
      <c r="AE7" s="48">
        <f>Grunddaten[[#This Row],[Sitze im Hauptorgan]]/_xlfn.NUMBERVALUE(MID(INDEX(TabSLS[[#Headers],[:1]:[:37]],COLUMN()-COLUMN(TabSLS[[#Headers],[:1]])+1),2,3))</f>
        <v>0.35294117647058826</v>
      </c>
      <c r="AF7" s="48">
        <f>Grunddaten[[#This Row],[Sitze im Hauptorgan]]/_xlfn.NUMBERVALUE(MID(INDEX(TabSLS[[#Headers],[:1]:[:37]],COLUMN()-COLUMN(TabSLS[[#Headers],[:1]])+1),2,3))</f>
        <v>0.31578947368421051</v>
      </c>
      <c r="AG7" s="48">
        <f>Grunddaten[[#This Row],[Sitze im Hauptorgan]]/_xlfn.NUMBERVALUE(MID(INDEX(TabSLS[[#Headers],[:1]:[:37]],COLUMN()-COLUMN(TabSLS[[#Headers],[:1]])+1),2,3))</f>
        <v>0.2857142857142857</v>
      </c>
      <c r="AH7" s="48">
        <f>Grunddaten[[#This Row],[Sitze im Hauptorgan]]/_xlfn.NUMBERVALUE(MID(INDEX(TabSLS[[#Headers],[:1]:[:37]],COLUMN()-COLUMN(TabSLS[[#Headers],[:1]])+1),2,3))</f>
        <v>0.2608695652173913</v>
      </c>
      <c r="AI7" s="48">
        <f>Grunddaten[[#This Row],[Sitze im Hauptorgan]]/_xlfn.NUMBERVALUE(MID(INDEX(TabSLS[[#Headers],[:1]:[:37]],COLUMN()-COLUMN(TabSLS[[#Headers],[:1]])+1),2,3))</f>
        <v>0.24</v>
      </c>
      <c r="AJ7" s="48">
        <f>Grunddaten[[#This Row],[Sitze im Hauptorgan]]/_xlfn.NUMBERVALUE(MID(INDEX(TabSLS[[#Headers],[:1]:[:37]],COLUMN()-COLUMN(TabSLS[[#Headers],[:1]])+1),2,3))</f>
        <v>0.22222222222222221</v>
      </c>
      <c r="AK7" s="48">
        <f>Grunddaten[[#This Row],[Sitze im Hauptorgan]]/_xlfn.NUMBERVALUE(MID(INDEX(TabSLS[[#Headers],[:1]:[:37]],COLUMN()-COLUMN(TabSLS[[#Headers],[:1]])+1),2,3))</f>
        <v>0.20689655172413793</v>
      </c>
      <c r="AL7" s="48">
        <f>Grunddaten[[#This Row],[Sitze im Hauptorgan]]/_xlfn.NUMBERVALUE(MID(INDEX(TabSLS[[#Headers],[:1]:[:37]],COLUMN()-COLUMN(TabSLS[[#Headers],[:1]])+1),2,3))</f>
        <v>0.19354838709677419</v>
      </c>
      <c r="AM7" s="48">
        <f>Grunddaten[[#This Row],[Sitze im Hauptorgan]]/_xlfn.NUMBERVALUE(MID(INDEX(TabSLS[[#Headers],[:1]:[:37]],COLUMN()-COLUMN(TabSLS[[#Headers],[:1]])+1),2,3))</f>
        <v>0.18181818181818182</v>
      </c>
      <c r="AN7" s="48">
        <f>Grunddaten[[#This Row],[Sitze im Hauptorgan]]/_xlfn.NUMBERVALUE(MID(INDEX(TabSLS[[#Headers],[:1]:[:37]],COLUMN()-COLUMN(TabSLS[[#Headers],[:1]])+1),2,3))</f>
        <v>0.17142857142857143</v>
      </c>
      <c r="AO7" s="49">
        <f>Grunddaten[[#This Row],[Sitze im Hauptorgan]]/_xlfn.NUMBERVALUE(MID(INDEX(TabSLS[[#Headers],[:1]:[:37]],COLUMN()-COLUMN(TabSLS[[#Headers],[:1]])+1),2,3))</f>
        <v>0.16216216216216217</v>
      </c>
      <c r="AP7" s="50">
        <f>_xlfn.RANK.EQ(TabSLS[[#This Row],[:1]],TabSLS[[:1]:[:37]],0)</f>
        <v>1</v>
      </c>
      <c r="AQ7" s="51">
        <f>_xlfn.RANK.EQ(TabSLS[[#This Row],[:3]],TabSLS[[:1]:[:37]],0)</f>
        <v>5</v>
      </c>
      <c r="AR7" s="51">
        <f>_xlfn.RANK.EQ(TabSLS[[#This Row],[:5]],TabSLS[[:1]:[:37]],0)</f>
        <v>9</v>
      </c>
      <c r="AS7" s="51">
        <f>_xlfn.RANK.EQ(TabSLS[[#This Row],[:7]],TabSLS[[:1]:[:37]],0)</f>
        <v>16</v>
      </c>
      <c r="AT7" s="51">
        <f>_xlfn.RANK.EQ(TabSLS[[#This Row],[:9]],TabSLS[[:1]:[:37]],0)</f>
        <v>19</v>
      </c>
      <c r="AU7" s="51">
        <f>_xlfn.RANK.EQ(TabSLS[[#This Row],[:11]],TabSLS[[:1]:[:37]],0)</f>
        <v>24</v>
      </c>
      <c r="AV7" s="51">
        <f>_xlfn.RANK.EQ(TabSLS[[#This Row],[:13]],TabSLS[[:1]:[:37]],0)</f>
        <v>25</v>
      </c>
      <c r="AW7" s="51">
        <f>_xlfn.RANK.EQ(TabSLS[[#This Row],[:15]],TabSLS[[:1]:[:37]],0)</f>
        <v>29</v>
      </c>
      <c r="AX7" s="51">
        <f>_xlfn.RANK.EQ(TabSLS[[#This Row],[:17]],TabSLS[[:1]:[:37]],0)</f>
        <v>33</v>
      </c>
      <c r="AY7" s="51">
        <f>_xlfn.RANK.EQ(TabSLS[[#This Row],[:19]],TabSLS[[:1]:[:37]],0)</f>
        <v>40</v>
      </c>
      <c r="AZ7" s="51">
        <f>_xlfn.RANK.EQ(TabSLS[[#This Row],[:21]],TabSLS[[:1]:[:37]],0)</f>
        <v>43</v>
      </c>
      <c r="BA7" s="51">
        <f>_xlfn.RANK.EQ(TabSLS[[#This Row],[:23]],TabSLS[[:1]:[:37]],0)</f>
        <v>48</v>
      </c>
      <c r="BB7" s="51">
        <f>_xlfn.RANK.EQ(TabSLS[[#This Row],[:25]],TabSLS[[:1]:[:37]],0)</f>
        <v>49</v>
      </c>
      <c r="BC7" s="51">
        <f>_xlfn.RANK.EQ(TabSLS[[#This Row],[:27]],TabSLS[[:1]:[:37]],0)</f>
        <v>53</v>
      </c>
      <c r="BD7" s="51">
        <f>_xlfn.RANK.EQ(TabSLS[[#This Row],[:29]],TabSLS[[:1]:[:37]],0)</f>
        <v>57</v>
      </c>
      <c r="BE7" s="51">
        <f>_xlfn.RANK.EQ(TabSLS[[#This Row],[:31]],TabSLS[[:1]:[:37]],0)</f>
        <v>64</v>
      </c>
      <c r="BF7" s="51">
        <f>_xlfn.RANK.EQ(TabSLS[[#This Row],[:33]],TabSLS[[:1]:[:37]],0)</f>
        <v>67</v>
      </c>
      <c r="BG7" s="51">
        <f>_xlfn.RANK.EQ(TabSLS[[#This Row],[:35]],TabSLS[[:1]:[:37]],0)</f>
        <v>72</v>
      </c>
      <c r="BH7" s="52">
        <f>_xlfn.RANK.EQ(TabSLS[[#This Row],[:37]],TabSLS[[:1]:[:37]],0)</f>
        <v>73</v>
      </c>
      <c r="BI7" s="53" t="str">
        <f>IF(TabSLS[[#This Row],[R1]]&lt;=Sitze_Ausschuss,IF(TabSLS[[#This Row],[R1]]+COUNTIF(TabSLS[[R1]:[R37]],TabSLS[[#This Row],[R1]])-1&lt;=Sitze_Ausschuss,"SITZ","PATT"),"")</f>
        <v>SITZ</v>
      </c>
      <c r="BJ7" s="54" t="str">
        <f>IF(TabSLS[[#This Row],[R3]]&lt;=Sitze_Ausschuss,IF(TabSLS[[#This Row],[R3]]+COUNTIF(TabSLS[[R1]:[R37]],TabSLS[[#This Row],[R3]])-1&lt;=Sitze_Ausschuss,"SITZ","PATT"),"")</f>
        <v>SITZ</v>
      </c>
      <c r="BK7" s="54" t="str">
        <f>IF(TabSLS[[#This Row],[R5]]&lt;=Sitze_Ausschuss,IF(TabSLS[[#This Row],[R5]]+COUNTIF(TabSLS[[R1]:[R37]],TabSLS[[#This Row],[R5]])-1&lt;=Sitze_Ausschuss,"SITZ","PATT"),"")</f>
        <v>SITZ</v>
      </c>
      <c r="BL7" s="54" t="str">
        <f>IF(TabSLS[[#This Row],[R7]]&lt;=Sitze_Ausschuss,IF(TabSLS[[#This Row],[R7]]+COUNTIF(TabSLS[[R1]:[R37]],TabSLS[[#This Row],[R7]])-1&lt;=Sitze_Ausschuss,"SITZ","PATT"),"")</f>
        <v/>
      </c>
      <c r="BM7" s="54" t="str">
        <f>IF(TabSLS[[#This Row],[R9]]&lt;=Sitze_Ausschuss,IF(TabSLS[[#This Row],[R9]]+COUNTIF(TabSLS[[R1]:[R37]],TabSLS[[#This Row],[R9]])-1&lt;=Sitze_Ausschuss,"SITZ","PATT"),"")</f>
        <v/>
      </c>
      <c r="BN7" s="54" t="str">
        <f>IF(TabSLS[[#This Row],[R11]]&lt;=Sitze_Ausschuss,IF(TabSLS[[#This Row],[R11]]+COUNTIF(TabSLS[[R1]:[R37]],TabSLS[[#This Row],[R11]])-1&lt;=Sitze_Ausschuss,"SITZ","PATT"),"")</f>
        <v/>
      </c>
      <c r="BO7" s="54" t="str">
        <f>IF(TabSLS[[#This Row],[R13]]&lt;=Sitze_Ausschuss,IF(TabSLS[[#This Row],[R13]]+COUNTIF(TabSLS[[R1]:[R37]],TabSLS[[#This Row],[R13]])-1&lt;=Sitze_Ausschuss,"SITZ","PATT"),"")</f>
        <v/>
      </c>
      <c r="BP7" s="54" t="str">
        <f>IF(TabSLS[[#This Row],[R15]]&lt;=Sitze_Ausschuss,IF(TabSLS[[#This Row],[R15]]+COUNTIF(TabSLS[[R1]:[R37]],TabSLS[[#This Row],[R15]])-1&lt;=Sitze_Ausschuss,"SITZ","PATT"),"")</f>
        <v/>
      </c>
      <c r="BQ7" s="54" t="str">
        <f>IF(TabSLS[[#This Row],[R17]]&lt;=Sitze_Ausschuss,IF(TabSLS[[#This Row],[R17]]+COUNTIF(TabSLS[[R1]:[R37]],TabSLS[[#This Row],[R17]])-1&lt;=Sitze_Ausschuss,"SITZ","PATT"),"")</f>
        <v/>
      </c>
      <c r="BR7" s="54" t="str">
        <f>IF(TabSLS[[#This Row],[R19]]&lt;=Sitze_Ausschuss,IF(TabSLS[[#This Row],[R19]]+COUNTIF(TabSLS[[R1]:[R37]],TabSLS[[#This Row],[R19]])-1&lt;=Sitze_Ausschuss,"SITZ","PATT"),"")</f>
        <v/>
      </c>
      <c r="BS7" s="54" t="str">
        <f>IF(TabSLS[[#This Row],[R21]]&lt;=Sitze_Ausschuss,IF(TabSLS[[#This Row],[R21]]+COUNTIF(TabSLS[[R1]:[R37]],TabSLS[[#This Row],[R21]])-1&lt;=Sitze_Ausschuss,"SITZ","PATT"),"")</f>
        <v/>
      </c>
      <c r="BT7" s="54" t="str">
        <f>IF(TabSLS[[#This Row],[R23]]&lt;=Sitze_Ausschuss,IF(TabSLS[[#This Row],[R23]]+COUNTIF(TabSLS[[R1]:[R37]],TabSLS[[#This Row],[R23]])-1&lt;=Sitze_Ausschuss,"SITZ","PATT"),"")</f>
        <v/>
      </c>
      <c r="BU7" s="54" t="str">
        <f>IF(TabSLS[[#This Row],[R25]]&lt;=Sitze_Ausschuss,IF(TabSLS[[#This Row],[R25]]+COUNTIF(TabSLS[[R1]:[R37]],TabSLS[[#This Row],[R25]])-1&lt;=Sitze_Ausschuss,"SITZ","PATT"),"")</f>
        <v/>
      </c>
      <c r="BV7" s="54" t="str">
        <f>IF(TabSLS[[#This Row],[R27]]&lt;=Sitze_Ausschuss,IF(TabSLS[[#This Row],[R27]]+COUNTIF(TabSLS[[R1]:[R37]],TabSLS[[#This Row],[R27]])-1&lt;=Sitze_Ausschuss,"SITZ","PATT"),"")</f>
        <v/>
      </c>
      <c r="BW7" s="54" t="str">
        <f>IF(TabSLS[[#This Row],[R29]]&lt;=Sitze_Ausschuss,IF(TabSLS[[#This Row],[R29]]+COUNTIF(TabSLS[[R1]:[R37]],TabSLS[[#This Row],[R29]])-1&lt;=Sitze_Ausschuss,"SITZ","PATT"),"")</f>
        <v/>
      </c>
      <c r="BX7" s="54" t="str">
        <f>IF(TabSLS[[#This Row],[R31]]&lt;=Sitze_Ausschuss,IF(TabSLS[[#This Row],[R31]]+COUNTIF(TabSLS[[R1]:[R37]],TabSLS[[#This Row],[R31]])-1&lt;=Sitze_Ausschuss,"SITZ","PATT"),"")</f>
        <v/>
      </c>
      <c r="BY7" s="54" t="str">
        <f>IF(TabSLS[[#This Row],[R33]]&lt;=Sitze_Ausschuss,IF(TabSLS[[#This Row],[R33]]+COUNTIF(TabSLS[[R1]:[R37]],TabSLS[[#This Row],[R33]])-1&lt;=Sitze_Ausschuss,"SITZ","PATT"),"")</f>
        <v/>
      </c>
      <c r="BZ7" s="54" t="str">
        <f>IF(TabSLS[[#This Row],[R35]]&lt;=Sitze_Ausschuss,IF(TabSLS[[#This Row],[R35]]+COUNTIF(TabSLS[[R1]:[R37]],TabSLS[[#This Row],[R35]])-1&lt;=Sitze_Ausschuss,"SITZ","PATT"),"")</f>
        <v/>
      </c>
      <c r="CA7" s="55" t="str">
        <f>IF(TabSLS[[#This Row],[R37]]&lt;=Sitze_Ausschuss,IF(TabSLS[[#This Row],[R37]]+COUNTIF(TabSLS[[R1]:[R37]],TabSLS[[#This Row],[R37]])-1&lt;=Sitze_Ausschuss,"SITZ","PATT"),"")</f>
        <v/>
      </c>
      <c r="CB7" s="56" t="b">
        <f>COUNTIF(TabSLS[[#This Row],[SP1]:[SP37]],"PATT")&gt;0</f>
        <v>0</v>
      </c>
      <c r="CC7" s="42">
        <f>IF(TabSLS[[#This Row],[Patt?]],(Sitze_Ausschuss-SUM(TabSLS[Sitze]))/TabSLS[[#Totals],[Patt?]],0)</f>
        <v>0</v>
      </c>
      <c r="CD7" s="57">
        <f>TabSLS[[#This Row],[Patt?]]*IF(Pattaufloesung="Stimmen",TabPatt[[#This Row],[Stimmen]],TabPatt[[#This Row],[Loserfolg]])*1</f>
        <v>0</v>
      </c>
      <c r="CE7" s="58" t="b">
        <f>_xlfn.RANK.EQ(TabSLS[[#This Row],[Stimmen Gelost]],TabSLS[Stimmen Gelost],0)&lt;=(Sitze_Ausschuss-SUM(TabSLS[Sitze]))</f>
        <v>1</v>
      </c>
      <c r="CF7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7" s="3"/>
      <c r="CH7" s="45">
        <f>COUNTIF(TabDH[[#This Row],[SP1]:[SP19]],"SITZ")</f>
        <v>3</v>
      </c>
      <c r="CI7" s="46">
        <f>IF(TabDH[[#This Row],[Patt]],IF(Pattaufloesung="Los-Chance",TabDH[[#This Row],[Los Chance]],TabDH[[#This Row],[Pattgewinn]]+0),0)</f>
        <v>0.5</v>
      </c>
      <c r="CJ7" s="47">
        <f>Grunddaten[[#This Row],[Sitze im Hauptorgan]]/_xlfn.NUMBERVALUE(MID(INDEX(TabDH[[#Headers],[:1]:[:19]],COLUMN()-COLUMN(TabDH[[#Headers],[:1]])+1),2,3))</f>
        <v>6</v>
      </c>
      <c r="CK7" s="48">
        <f>Grunddaten[[#This Row],[Sitze im Hauptorgan]]/_xlfn.NUMBERVALUE(MID(INDEX(TabDH[[#Headers],[:1]:[:19]],COLUMN()-COLUMN(TabDH[[#Headers],[:1]])+1),2,3))</f>
        <v>3</v>
      </c>
      <c r="CL7" s="48">
        <f>Grunddaten[[#This Row],[Sitze im Hauptorgan]]/_xlfn.NUMBERVALUE(MID(INDEX(TabDH[[#Headers],[:1]:[:19]],COLUMN()-COLUMN(TabDH[[#Headers],[:1]])+1),2,3))</f>
        <v>2</v>
      </c>
      <c r="CM7" s="48">
        <f>Grunddaten[[#This Row],[Sitze im Hauptorgan]]/_xlfn.NUMBERVALUE(MID(INDEX(TabDH[[#Headers],[:1]:[:19]],COLUMN()-COLUMN(TabDH[[#Headers],[:1]])+1),2,3))</f>
        <v>1.5</v>
      </c>
      <c r="CN7" s="48">
        <f>Grunddaten[[#This Row],[Sitze im Hauptorgan]]/_xlfn.NUMBERVALUE(MID(INDEX(TabDH[[#Headers],[:1]:[:19]],COLUMN()-COLUMN(TabDH[[#Headers],[:1]])+1),2,3))</f>
        <v>1.2</v>
      </c>
      <c r="CO7" s="48">
        <f>Grunddaten[[#This Row],[Sitze im Hauptorgan]]/_xlfn.NUMBERVALUE(MID(INDEX(TabDH[[#Headers],[:1]:[:19]],COLUMN()-COLUMN(TabDH[[#Headers],[:1]])+1),2,3))</f>
        <v>1</v>
      </c>
      <c r="CP7" s="48">
        <f>Grunddaten[[#This Row],[Sitze im Hauptorgan]]/_xlfn.NUMBERVALUE(MID(INDEX(TabDH[[#Headers],[:1]:[:19]],COLUMN()-COLUMN(TabDH[[#Headers],[:1]])+1),2,3))</f>
        <v>0.8571428571428571</v>
      </c>
      <c r="CQ7" s="48">
        <f>Grunddaten[[#This Row],[Sitze im Hauptorgan]]/_xlfn.NUMBERVALUE(MID(INDEX(TabDH[[#Headers],[:1]:[:19]],COLUMN()-COLUMN(TabDH[[#Headers],[:1]])+1),2,3))</f>
        <v>0.75</v>
      </c>
      <c r="CR7" s="48">
        <f>Grunddaten[[#This Row],[Sitze im Hauptorgan]]/_xlfn.NUMBERVALUE(MID(INDEX(TabDH[[#Headers],[:1]:[:19]],COLUMN()-COLUMN(TabDH[[#Headers],[:1]])+1),2,3))</f>
        <v>0.66666666666666663</v>
      </c>
      <c r="CS7" s="48">
        <f>Grunddaten[[#This Row],[Sitze im Hauptorgan]]/_xlfn.NUMBERVALUE(MID(INDEX(TabDH[[#Headers],[:1]:[:19]],COLUMN()-COLUMN(TabDH[[#Headers],[:1]])+1),2,3))</f>
        <v>0.6</v>
      </c>
      <c r="CT7" s="48">
        <f>Grunddaten[[#This Row],[Sitze im Hauptorgan]]/_xlfn.NUMBERVALUE(MID(INDEX(TabDH[[#Headers],[:1]:[:19]],COLUMN()-COLUMN(TabDH[[#Headers],[:1]])+1),2,3))</f>
        <v>0.54545454545454541</v>
      </c>
      <c r="CU7" s="48">
        <f>Grunddaten[[#This Row],[Sitze im Hauptorgan]]/_xlfn.NUMBERVALUE(MID(INDEX(TabDH[[#Headers],[:1]:[:19]],COLUMN()-COLUMN(TabDH[[#Headers],[:1]])+1),2,3))</f>
        <v>0.5</v>
      </c>
      <c r="CV7" s="48">
        <f>Grunddaten[[#This Row],[Sitze im Hauptorgan]]/_xlfn.NUMBERVALUE(MID(INDEX(TabDH[[#Headers],[:1]:[:19]],COLUMN()-COLUMN(TabDH[[#Headers],[:1]])+1),2,3))</f>
        <v>0.46153846153846156</v>
      </c>
      <c r="CW7" s="48">
        <f>Grunddaten[[#This Row],[Sitze im Hauptorgan]]/_xlfn.NUMBERVALUE(MID(INDEX(TabDH[[#Headers],[:1]:[:19]],COLUMN()-COLUMN(TabDH[[#Headers],[:1]])+1),2,3))</f>
        <v>0.42857142857142855</v>
      </c>
      <c r="CX7" s="48">
        <f>Grunddaten[[#This Row],[Sitze im Hauptorgan]]/_xlfn.NUMBERVALUE(MID(INDEX(TabDH[[#Headers],[:1]:[:19]],COLUMN()-COLUMN(TabDH[[#Headers],[:1]])+1),2,3))</f>
        <v>0.4</v>
      </c>
      <c r="CY7" s="48">
        <f>Grunddaten[[#This Row],[Sitze im Hauptorgan]]/_xlfn.NUMBERVALUE(MID(INDEX(TabDH[[#Headers],[:1]:[:19]],COLUMN()-COLUMN(TabDH[[#Headers],[:1]])+1),2,3))</f>
        <v>0.375</v>
      </c>
      <c r="CZ7" s="48">
        <f>Grunddaten[[#This Row],[Sitze im Hauptorgan]]/_xlfn.NUMBERVALUE(MID(INDEX(TabDH[[#Headers],[:1]:[:19]],COLUMN()-COLUMN(TabDH[[#Headers],[:1]])+1),2,3))</f>
        <v>0.35294117647058826</v>
      </c>
      <c r="DA7" s="48">
        <f>Grunddaten[[#This Row],[Sitze im Hauptorgan]]/_xlfn.NUMBERVALUE(MID(INDEX(TabDH[[#Headers],[:1]:[:19]],COLUMN()-COLUMN(TabDH[[#Headers],[:1]])+1),2,3))</f>
        <v>0.33333333333333331</v>
      </c>
      <c r="DB7" s="49">
        <f>Grunddaten[[#This Row],[Sitze im Hauptorgan]]/_xlfn.NUMBERVALUE(MID(INDEX(TabDH[[#Headers],[:1]:[:19]],COLUMN()-COLUMN(TabDH[[#Headers],[:1]])+1),2,3))</f>
        <v>0.31578947368421051</v>
      </c>
      <c r="DC7" s="50">
        <f>_xlfn.RANK.EQ(TabDH[[#This Row],[:1]],TabDH[[:1]:[:19]],0)</f>
        <v>1</v>
      </c>
      <c r="DD7" s="51">
        <f>_xlfn.RANK.EQ(TabDH[[#This Row],[:2]],TabDH[[:1]:[:19]],0)</f>
        <v>4</v>
      </c>
      <c r="DE7" s="51">
        <f>_xlfn.RANK.EQ(TabDH[[#This Row],[:3]],TabDH[[:1]:[:19]],0)</f>
        <v>7</v>
      </c>
      <c r="DF7" s="51">
        <f>_xlfn.RANK.EQ(TabDH[[#This Row],[:4]],TabDH[[:1]:[:19]],0)</f>
        <v>11</v>
      </c>
      <c r="DG7" s="51">
        <f>_xlfn.RANK.EQ(TabDH[[#This Row],[:5]],TabDH[[:1]:[:19]],0)</f>
        <v>15</v>
      </c>
      <c r="DH7" s="51">
        <f>_xlfn.RANK.EQ(TabDH[[#This Row],[:6]],TabDH[[:1]:[:19]],0)</f>
        <v>16</v>
      </c>
      <c r="DI7" s="51">
        <f>_xlfn.RANK.EQ(TabDH[[#This Row],[:7]],TabDH[[:1]:[:19]],0)</f>
        <v>25</v>
      </c>
      <c r="DJ7" s="51">
        <f>_xlfn.RANK.EQ(TabDH[[#This Row],[:8]],TabDH[[:1]:[:19]],0)</f>
        <v>28</v>
      </c>
      <c r="DK7" s="51">
        <f>_xlfn.RANK.EQ(TabDH[[#This Row],[:9]],TabDH[[:1]:[:19]],0)</f>
        <v>31</v>
      </c>
      <c r="DL7" s="51">
        <f>_xlfn.RANK.EQ(TabDH[[#This Row],[:10]],TabDH[[:1]:[:19]],0)</f>
        <v>35</v>
      </c>
      <c r="DM7" s="51">
        <f>_xlfn.RANK.EQ(TabDH[[#This Row],[:11]],TabDH[[:1]:[:19]],0)</f>
        <v>39</v>
      </c>
      <c r="DN7" s="51">
        <f>_xlfn.RANK.EQ(TabDH[[#This Row],[:12]],TabDH[[:1]:[:19]],0)</f>
        <v>40</v>
      </c>
      <c r="DO7" s="51">
        <f>_xlfn.RANK.EQ(TabDH[[#This Row],[:13]],TabDH[[:1]:[:19]],0)</f>
        <v>49</v>
      </c>
      <c r="DP7" s="51">
        <f>_xlfn.RANK.EQ(TabDH[[#This Row],[:14]],TabDH[[:1]:[:19]],0)</f>
        <v>52</v>
      </c>
      <c r="DQ7" s="51">
        <f>_xlfn.RANK.EQ(TabDH[[#This Row],[:15]],TabDH[[:1]:[:19]],0)</f>
        <v>55</v>
      </c>
      <c r="DR7" s="51">
        <f>_xlfn.RANK.EQ(TabDH[[#This Row],[:16]],TabDH[[:1]:[:19]],0)</f>
        <v>59</v>
      </c>
      <c r="DS7" s="51">
        <f>_xlfn.RANK.EQ(TabDH[[#This Row],[:17]],TabDH[[:1]:[:19]],0)</f>
        <v>63</v>
      </c>
      <c r="DT7" s="51">
        <f>_xlfn.RANK.EQ(TabDH[[#This Row],[:18]],TabDH[[:1]:[:19]],0)</f>
        <v>64</v>
      </c>
      <c r="DU7" s="52">
        <f>_xlfn.RANK.EQ(TabDH[[#This Row],[:19]],TabDH[[:1]:[:19]],0)</f>
        <v>73</v>
      </c>
      <c r="DV7" s="53" t="str">
        <f>IF(TabDH[[#This Row],[R1]]&lt;=Sitze_Ausschuss,IF(TabDH[[#This Row],[R1]]+COUNTIF(TabDH[[R1]:[R19]],TabDH[[#This Row],[R1]])-1&lt;=Sitze_Ausschuss,"SITZ","PATT"),"")</f>
        <v>SITZ</v>
      </c>
      <c r="DW7" s="54" t="str">
        <f>IF(TabDH[[#This Row],[R2]]&lt;=Sitze_Ausschuss,IF(TabDH[[#This Row],[R2]]+COUNTIF(TabDH[[R1]:[R19]],TabDH[[#This Row],[R2]])-1&lt;=Sitze_Ausschuss,"SITZ","PATT"),"")</f>
        <v>SITZ</v>
      </c>
      <c r="DX7" s="54" t="str">
        <f>IF(TabDH[[#This Row],[R3]]&lt;=Sitze_Ausschuss,IF(TabDH[[#This Row],[R3]]+COUNTIF(TabDH[[R1]:[R19]],TabDH[[#This Row],[R3]])-1&lt;=Sitze_Ausschuss,"SITZ","PATT"),"")</f>
        <v>SITZ</v>
      </c>
      <c r="DY7" s="54" t="str">
        <f>IF(TabDH[[#This Row],[R4]]&lt;=Sitze_Ausschuss,IF(TabDH[[#This Row],[R4]]+COUNTIF(TabDH[[R1]:[R19]],TabDH[[#This Row],[R4]])-1&lt;=Sitze_Ausschuss,"SITZ","PATT"),"")</f>
        <v>PATT</v>
      </c>
      <c r="DZ7" s="54" t="str">
        <f>IF(TabDH[[#This Row],[R5]]&lt;=Sitze_Ausschuss,IF(TabDH[[#This Row],[R5]]+COUNTIF(TabDH[[R1]:[R19]],TabDH[[#This Row],[R5]])-1&lt;=Sitze_Ausschuss,"SITZ","PATT"),"")</f>
        <v/>
      </c>
      <c r="EA7" s="54" t="str">
        <f>IF(TabDH[[#This Row],[R6]]&lt;=Sitze_Ausschuss,IF(TabDH[[#This Row],[R6]]+COUNTIF(TabDH[[R1]:[R19]],TabDH[[#This Row],[R6]])-1&lt;=Sitze_Ausschuss,"SITZ","PATT"),"")</f>
        <v/>
      </c>
      <c r="EB7" s="54" t="str">
        <f>IF(TabDH[[#This Row],[R7]]&lt;=Sitze_Ausschuss,IF(TabDH[[#This Row],[R7]]+COUNTIF(TabDH[[R1]:[R19]],TabDH[[#This Row],[R7]])-1&lt;=Sitze_Ausschuss,"SITZ","PATT"),"")</f>
        <v/>
      </c>
      <c r="EC7" s="54" t="str">
        <f>IF(TabDH[[#This Row],[R8]]&lt;=Sitze_Ausschuss,IF(TabDH[[#This Row],[R8]]+COUNTIF(TabDH[[R1]:[R19]],TabDH[[#This Row],[R8]])-1&lt;=Sitze_Ausschuss,"SITZ","PATT"),"")</f>
        <v/>
      </c>
      <c r="ED7" s="54" t="str">
        <f>IF(TabDH[[#This Row],[R9]]&lt;=Sitze_Ausschuss,IF(TabDH[[#This Row],[R9]]+COUNTIF(TabDH[[R1]:[R19]],TabDH[[#This Row],[R9]])-1&lt;=Sitze_Ausschuss,"SITZ","PATT"),"")</f>
        <v/>
      </c>
      <c r="EE7" s="54" t="str">
        <f>IF(TabDH[[#This Row],[R10]]&lt;=Sitze_Ausschuss,IF(TabDH[[#This Row],[R10]]+COUNTIF(TabDH[[R1]:[R19]],TabDH[[#This Row],[R10]])-1&lt;=Sitze_Ausschuss,"SITZ","PATT"),"")</f>
        <v/>
      </c>
      <c r="EF7" s="54" t="str">
        <f>IF(TabDH[[#This Row],[R11]]&lt;=Sitze_Ausschuss,IF(TabDH[[#This Row],[R11]]+COUNTIF(TabDH[[R1]:[R19]],TabDH[[#This Row],[R11]])-1&lt;=Sitze_Ausschuss,"SITZ","PATT"),"")</f>
        <v/>
      </c>
      <c r="EG7" s="54" t="str">
        <f>IF(TabDH[[#This Row],[R12]]&lt;=Sitze_Ausschuss,IF(TabDH[[#This Row],[R12]]+COUNTIF(TabDH[[R1]:[R19]],TabDH[[#This Row],[R12]])-1&lt;=Sitze_Ausschuss,"SITZ","PATT"),"")</f>
        <v/>
      </c>
      <c r="EH7" s="54" t="str">
        <f>IF(TabDH[[#This Row],[R13]]&lt;=Sitze_Ausschuss,IF(TabDH[[#This Row],[R13]]+COUNTIF(TabDH[[R1]:[R19]],TabDH[[#This Row],[R13]])-1&lt;=Sitze_Ausschuss,"SITZ","PATT"),"")</f>
        <v/>
      </c>
      <c r="EI7" s="54" t="str">
        <f>IF(TabDH[[#This Row],[R14]]&lt;=Sitze_Ausschuss,IF(TabDH[[#This Row],[R14]]+COUNTIF(TabDH[[R1]:[R19]],TabDH[[#This Row],[R14]])-1&lt;=Sitze_Ausschuss,"SITZ","PATT"),"")</f>
        <v/>
      </c>
      <c r="EJ7" s="54" t="str">
        <f>IF(TabDH[[#This Row],[R15]]&lt;=Sitze_Ausschuss,IF(TabDH[[#This Row],[R15]]+COUNTIF(TabDH[[R1]:[R19]],TabDH[[#This Row],[R15]])-1&lt;=Sitze_Ausschuss,"SITZ","PATT"),"")</f>
        <v/>
      </c>
      <c r="EK7" s="54" t="str">
        <f>IF(TabDH[[#This Row],[R16]]&lt;=Sitze_Ausschuss,IF(TabDH[[#This Row],[R16]]+COUNTIF(TabDH[[R1]:[R19]],TabDH[[#This Row],[R16]])-1&lt;=Sitze_Ausschuss,"SITZ","PATT"),"")</f>
        <v/>
      </c>
      <c r="EL7" s="54" t="str">
        <f>IF(TabDH[[#This Row],[R17]]&lt;=Sitze_Ausschuss,IF(TabDH[[#This Row],[R17]]+COUNTIF(TabDH[[R1]:[R19]],TabDH[[#This Row],[R17]])-1&lt;=Sitze_Ausschuss,"SITZ","PATT"),"")</f>
        <v/>
      </c>
      <c r="EM7" s="54" t="str">
        <f>IF(TabDH[[#This Row],[R18]]&lt;=Sitze_Ausschuss,IF(TabDH[[#This Row],[R18]]+COUNTIF(TabDH[[R1]:[R19]],TabDH[[#This Row],[R18]])-1&lt;=Sitze_Ausschuss,"SITZ","PATT"),"")</f>
        <v/>
      </c>
      <c r="EN7" s="54" t="str">
        <f>IF(TabDH[[#This Row],[R19]]&lt;=Sitze_Ausschuss,IF(TabDH[[#This Row],[R19]]+COUNTIF(TabDH[[R1]:[R19]],TabDH[[#This Row],[R19]])-1&lt;=Sitze_Ausschuss,"SITZ","PATT"),"")</f>
        <v/>
      </c>
      <c r="EO7" s="56" t="b">
        <f>COUNTIF(TabDH[[#This Row],[SP1]:[SP19]],"PATT")&gt;0</f>
        <v>1</v>
      </c>
      <c r="EP7" s="42">
        <f>IF(TabDH[[#This Row],[Patt]],(Sitze_Ausschuss-SUM(TabDH[Sitze]))/TabDH[[#Totals],[Patt]],0)</f>
        <v>0.5</v>
      </c>
      <c r="EQ7" s="57">
        <f>TabDH[[#This Row],[Patt]]*IF(Pattaufloesung="Stimmen",TabPatt[[#This Row],[Stimmen]],TabPatt[[#This Row],[Loserfolg]])*1</f>
        <v>0</v>
      </c>
      <c r="ER7" s="58" t="b">
        <f>_xlfn.RANK.EQ(TabDH[[#This Row],[Stimmen/Gelost]],TabDH[Stimmen/Gelost],0)&lt;=(Sitze_Ausschuss-SUM(TabDH[Sitze]))</f>
        <v>1</v>
      </c>
      <c r="ES7" s="59" t="b">
        <f>OR(TabDH[[#This Row],[Sitze]]&lt;ROUNDDOWN(Grunddaten[[#This Row],[Proporzgenaue Zahl Ausschuss]],0),TabDH[[#This Row],[Sitze]]+(TabDH[[#This Row],[Patt]]*1)&gt;ROUNDUP(Grunddaten[[#This Row],[Proporzgenaue Zahl Ausschuss]],0))</f>
        <v>1</v>
      </c>
      <c r="ET7" s="3"/>
      <c r="EU7" s="60" t="str">
        <f>Grunddaten[[#This Row],[Partei/Wählergruppe]]&amp;""</f>
        <v>CSU</v>
      </c>
      <c r="EV7" s="85">
        <v>6543</v>
      </c>
      <c r="EW7" s="66" t="b">
        <v>0</v>
      </c>
      <c r="EX7" s="3"/>
      <c r="EY7" s="3"/>
      <c r="EZ7" s="3"/>
      <c r="FA7" s="3"/>
      <c r="FB7" s="3"/>
    </row>
    <row r="8" spans="1:164" x14ac:dyDescent="0.25">
      <c r="A8" s="3"/>
      <c r="B8" s="67" t="s">
        <v>2</v>
      </c>
      <c r="C8" s="85">
        <v>5</v>
      </c>
      <c r="D8" s="83">
        <f>Grunddaten[[#This Row],[Sitze im Hauptorgan]]/Grunddaten[[#Totals],[Sitze im Hauptorgan]]*Sitze_Ausschuss</f>
        <v>2.291666666666667</v>
      </c>
      <c r="E8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2 oder 3</v>
      </c>
      <c r="F8" s="61" t="str">
        <f t="shared" si="0"/>
        <v>OK</v>
      </c>
      <c r="G8" s="62" t="str">
        <f>IF(TabSLS[[#This Row],[QK verletzt]],"NOK","OK")</f>
        <v>OK</v>
      </c>
      <c r="H8" s="63" t="str">
        <f>IF(TabDH[[#This Row],[QK verletzt]],"NOK","OK")</f>
        <v>OK</v>
      </c>
      <c r="I8" s="3"/>
      <c r="J8" s="37">
        <f>TabHN[[#This Row],[S ganz]]+IF(NOT(TabHN[[#This Row],[Patt]]),TabHN[[#This Row],[Restsitz]],0)</f>
        <v>2</v>
      </c>
      <c r="K8" s="38">
        <f>IF(TabHN[[#This Row],[Patt]],IF(Pattaufloesung="Los-Chance",TabHN[[#This Row],[Los Chance]],TabHN[[#This Row],[Pattgewinn]]+0),0)</f>
        <v>0</v>
      </c>
      <c r="L8" s="39">
        <f>INT(Grunddaten[[#This Row],[Proporzgenaue Zahl Ausschuss]])</f>
        <v>2</v>
      </c>
      <c r="M8" s="40">
        <f>ROUND(Grunddaten[[#This Row],[Proporzgenaue Zahl Ausschuss]]-TabHN[[#This Row],[S ganz]],4)</f>
        <v>0.29170000000000001</v>
      </c>
      <c r="N8" s="41">
        <f>_xlfn.RANK.EQ(TabHN[[#This Row],[S Rest]],TabHN[S Rest],0)</f>
        <v>9</v>
      </c>
      <c r="O8" s="39">
        <f>IF(TabHN[[#This Row],[Rng Rest]]&lt;=TabHN[[#Totals],[S Rest]],1,0)</f>
        <v>0</v>
      </c>
      <c r="P8" s="39" t="b">
        <f>AND(TabHN[[#This Row],[Restsitz]]=1,(COUNTIF(TabHN[Rng Rest],TabHN[[#This Row],[Rng Rest]])+TabHN[[#This Row],[Rng Rest]]-1)&gt;TabHN[[#Totals],[S Rest]])</f>
        <v>0</v>
      </c>
      <c r="Q8" s="42">
        <f>IF(TabHN[[#This Row],[Patt]],(Sitze_Ausschuss-SUM(TabHN[Sitze]))/TabHN[[#Totals],[Patt]],0)</f>
        <v>0</v>
      </c>
      <c r="R8" s="43">
        <f>TabHN[[#This Row],[Patt]]*IF(Pattaufloesung="Stimmen",TabPatt[[#This Row],[Stimmen]],TabPatt[[#This Row],[Loserfolg]])*1</f>
        <v>0</v>
      </c>
      <c r="S8" s="44" t="b">
        <f>_xlfn.RANK.EQ(TabHN[[#This Row],[Stimmen/Gelost]],TabHN[Stimmen/Gelost],0)&lt;=(Sitze_Ausschuss-SUM(TabHN[Sitze]))</f>
        <v>1</v>
      </c>
      <c r="T8" s="3"/>
      <c r="U8" s="45">
        <f>COUNTIF(TabSLS[[#This Row],[SP1]:[SP37]],"SITZ")</f>
        <v>2</v>
      </c>
      <c r="V8" s="46">
        <f>IF(TabSLS[[#This Row],[Patt?]],IF(Pattaufloesung="Los-Chance",TabSLS[[#This Row],[Los Chance]],TabSLS[[#This Row],[Pattgewinn]]+0),0)</f>
        <v>0.33333333333333331</v>
      </c>
      <c r="W8" s="47">
        <f>Grunddaten[[#This Row],[Sitze im Hauptorgan]]/_xlfn.NUMBERVALUE(MID(INDEX(TabSLS[[#Headers],[:1]:[:37]],COLUMN()-COLUMN(TabSLS[[#Headers],[:1]])+1),2,3))</f>
        <v>5</v>
      </c>
      <c r="X8" s="48">
        <f>Grunddaten[[#This Row],[Sitze im Hauptorgan]]/_xlfn.NUMBERVALUE(MID(INDEX(TabSLS[[#Headers],[:1]:[:37]],COLUMN()-COLUMN(TabSLS[[#Headers],[:1]])+1),2,3))</f>
        <v>1.6666666666666667</v>
      </c>
      <c r="Y8" s="48">
        <f>Grunddaten[[#This Row],[Sitze im Hauptorgan]]/_xlfn.NUMBERVALUE(MID(INDEX(TabSLS[[#Headers],[:1]:[:37]],COLUMN()-COLUMN(TabSLS[[#Headers],[:1]])+1),2,3))</f>
        <v>1</v>
      </c>
      <c r="Z8" s="48">
        <f>Grunddaten[[#This Row],[Sitze im Hauptorgan]]/_xlfn.NUMBERVALUE(MID(INDEX(TabSLS[[#Headers],[:1]:[:37]],COLUMN()-COLUMN(TabSLS[[#Headers],[:1]])+1),2,3))</f>
        <v>0.7142857142857143</v>
      </c>
      <c r="AA8" s="48">
        <f>Grunddaten[[#This Row],[Sitze im Hauptorgan]]/_xlfn.NUMBERVALUE(MID(INDEX(TabSLS[[#Headers],[:1]:[:37]],COLUMN()-COLUMN(TabSLS[[#Headers],[:1]])+1),2,3))</f>
        <v>0.55555555555555558</v>
      </c>
      <c r="AB8" s="48">
        <f>Grunddaten[[#This Row],[Sitze im Hauptorgan]]/_xlfn.NUMBERVALUE(MID(INDEX(TabSLS[[#Headers],[:1]:[:37]],COLUMN()-COLUMN(TabSLS[[#Headers],[:1]])+1),2,3))</f>
        <v>0.45454545454545453</v>
      </c>
      <c r="AC8" s="48">
        <f>Grunddaten[[#This Row],[Sitze im Hauptorgan]]/_xlfn.NUMBERVALUE(MID(INDEX(TabSLS[[#Headers],[:1]:[:37]],COLUMN()-COLUMN(TabSLS[[#Headers],[:1]])+1),2,3))</f>
        <v>0.38461538461538464</v>
      </c>
      <c r="AD8" s="48">
        <f>Grunddaten[[#This Row],[Sitze im Hauptorgan]]/_xlfn.NUMBERVALUE(MID(INDEX(TabSLS[[#Headers],[:1]:[:37]],COLUMN()-COLUMN(TabSLS[[#Headers],[:1]])+1),2,3))</f>
        <v>0.33333333333333331</v>
      </c>
      <c r="AE8" s="48">
        <f>Grunddaten[[#This Row],[Sitze im Hauptorgan]]/_xlfn.NUMBERVALUE(MID(INDEX(TabSLS[[#Headers],[:1]:[:37]],COLUMN()-COLUMN(TabSLS[[#Headers],[:1]])+1),2,3))</f>
        <v>0.29411764705882354</v>
      </c>
      <c r="AF8" s="48">
        <f>Grunddaten[[#This Row],[Sitze im Hauptorgan]]/_xlfn.NUMBERVALUE(MID(INDEX(TabSLS[[#Headers],[:1]:[:37]],COLUMN()-COLUMN(TabSLS[[#Headers],[:1]])+1),2,3))</f>
        <v>0.26315789473684209</v>
      </c>
      <c r="AG8" s="48">
        <f>Grunddaten[[#This Row],[Sitze im Hauptorgan]]/_xlfn.NUMBERVALUE(MID(INDEX(TabSLS[[#Headers],[:1]:[:37]],COLUMN()-COLUMN(TabSLS[[#Headers],[:1]])+1),2,3))</f>
        <v>0.23809523809523808</v>
      </c>
      <c r="AH8" s="48">
        <f>Grunddaten[[#This Row],[Sitze im Hauptorgan]]/_xlfn.NUMBERVALUE(MID(INDEX(TabSLS[[#Headers],[:1]:[:37]],COLUMN()-COLUMN(TabSLS[[#Headers],[:1]])+1),2,3))</f>
        <v>0.21739130434782608</v>
      </c>
      <c r="AI8" s="48">
        <f>Grunddaten[[#This Row],[Sitze im Hauptorgan]]/_xlfn.NUMBERVALUE(MID(INDEX(TabSLS[[#Headers],[:1]:[:37]],COLUMN()-COLUMN(TabSLS[[#Headers],[:1]])+1),2,3))</f>
        <v>0.2</v>
      </c>
      <c r="AJ8" s="48">
        <f>Grunddaten[[#This Row],[Sitze im Hauptorgan]]/_xlfn.NUMBERVALUE(MID(INDEX(TabSLS[[#Headers],[:1]:[:37]],COLUMN()-COLUMN(TabSLS[[#Headers],[:1]])+1),2,3))</f>
        <v>0.18518518518518517</v>
      </c>
      <c r="AK8" s="48">
        <f>Grunddaten[[#This Row],[Sitze im Hauptorgan]]/_xlfn.NUMBERVALUE(MID(INDEX(TabSLS[[#Headers],[:1]:[:37]],COLUMN()-COLUMN(TabSLS[[#Headers],[:1]])+1),2,3))</f>
        <v>0.17241379310344829</v>
      </c>
      <c r="AL8" s="48">
        <f>Grunddaten[[#This Row],[Sitze im Hauptorgan]]/_xlfn.NUMBERVALUE(MID(INDEX(TabSLS[[#Headers],[:1]:[:37]],COLUMN()-COLUMN(TabSLS[[#Headers],[:1]])+1),2,3))</f>
        <v>0.16129032258064516</v>
      </c>
      <c r="AM8" s="48">
        <f>Grunddaten[[#This Row],[Sitze im Hauptorgan]]/_xlfn.NUMBERVALUE(MID(INDEX(TabSLS[[#Headers],[:1]:[:37]],COLUMN()-COLUMN(TabSLS[[#Headers],[:1]])+1),2,3))</f>
        <v>0.15151515151515152</v>
      </c>
      <c r="AN8" s="48">
        <f>Grunddaten[[#This Row],[Sitze im Hauptorgan]]/_xlfn.NUMBERVALUE(MID(INDEX(TabSLS[[#Headers],[:1]:[:37]],COLUMN()-COLUMN(TabSLS[[#Headers],[:1]])+1),2,3))</f>
        <v>0.14285714285714285</v>
      </c>
      <c r="AO8" s="49">
        <f>Grunddaten[[#This Row],[Sitze im Hauptorgan]]/_xlfn.NUMBERVALUE(MID(INDEX(TabSLS[[#Headers],[:1]:[:37]],COLUMN()-COLUMN(TabSLS[[#Headers],[:1]])+1),2,3))</f>
        <v>0.13513513513513514</v>
      </c>
      <c r="AP8" s="50">
        <f>_xlfn.RANK.EQ(TabSLS[[#This Row],[:1]],TabSLS[[:1]:[:37]],0)</f>
        <v>2</v>
      </c>
      <c r="AQ8" s="51">
        <f>_xlfn.RANK.EQ(TabSLS[[#This Row],[:3]],TabSLS[[:1]:[:37]],0)</f>
        <v>7</v>
      </c>
      <c r="AR8" s="51">
        <f>_xlfn.RANK.EQ(TabSLS[[#This Row],[:5]],TabSLS[[:1]:[:37]],0)</f>
        <v>10</v>
      </c>
      <c r="AS8" s="51">
        <f>_xlfn.RANK.EQ(TabSLS[[#This Row],[:7]],TabSLS[[:1]:[:37]],0)</f>
        <v>18</v>
      </c>
      <c r="AT8" s="51">
        <f>_xlfn.RANK.EQ(TabSLS[[#This Row],[:9]],TabSLS[[:1]:[:37]],0)</f>
        <v>23</v>
      </c>
      <c r="AU8" s="51">
        <f>_xlfn.RANK.EQ(TabSLS[[#This Row],[:11]],TabSLS[[:1]:[:37]],0)</f>
        <v>26</v>
      </c>
      <c r="AV8" s="51">
        <f>_xlfn.RANK.EQ(TabSLS[[#This Row],[:13]],TabSLS[[:1]:[:37]],0)</f>
        <v>31</v>
      </c>
      <c r="AW8" s="51">
        <f>_xlfn.RANK.EQ(TabSLS[[#This Row],[:15]],TabSLS[[:1]:[:37]],0)</f>
        <v>34</v>
      </c>
      <c r="AX8" s="51">
        <f>_xlfn.RANK.EQ(TabSLS[[#This Row],[:17]],TabSLS[[:1]:[:37]],0)</f>
        <v>42</v>
      </c>
      <c r="AY8" s="51">
        <f>_xlfn.RANK.EQ(TabSLS[[#This Row],[:19]],TabSLS[[:1]:[:37]],0)</f>
        <v>47</v>
      </c>
      <c r="AZ8" s="51">
        <f>_xlfn.RANK.EQ(TabSLS[[#This Row],[:21]],TabSLS[[:1]:[:37]],0)</f>
        <v>50</v>
      </c>
      <c r="BA8" s="51">
        <f>_xlfn.RANK.EQ(TabSLS[[#This Row],[:23]],TabSLS[[:1]:[:37]],0)</f>
        <v>55</v>
      </c>
      <c r="BB8" s="51">
        <f>_xlfn.RANK.EQ(TabSLS[[#This Row],[:25]],TabSLS[[:1]:[:37]],0)</f>
        <v>58</v>
      </c>
      <c r="BC8" s="51">
        <f>_xlfn.RANK.EQ(TabSLS[[#This Row],[:27]],TabSLS[[:1]:[:37]],0)</f>
        <v>66</v>
      </c>
      <c r="BD8" s="51">
        <f>_xlfn.RANK.EQ(TabSLS[[#This Row],[:29]],TabSLS[[:1]:[:37]],0)</f>
        <v>71</v>
      </c>
      <c r="BE8" s="51">
        <f>_xlfn.RANK.EQ(TabSLS[[#This Row],[:31]],TabSLS[[:1]:[:37]],0)</f>
        <v>74</v>
      </c>
      <c r="BF8" s="51">
        <f>_xlfn.RANK.EQ(TabSLS[[#This Row],[:33]],TabSLS[[:1]:[:37]],0)</f>
        <v>78</v>
      </c>
      <c r="BG8" s="51">
        <f>_xlfn.RANK.EQ(TabSLS[[#This Row],[:35]],TabSLS[[:1]:[:37]],0)</f>
        <v>80</v>
      </c>
      <c r="BH8" s="52">
        <f>_xlfn.RANK.EQ(TabSLS[[#This Row],[:37]],TabSLS[[:1]:[:37]],0)</f>
        <v>87</v>
      </c>
      <c r="BI8" s="53" t="str">
        <f>IF(TabSLS[[#This Row],[R1]]&lt;=Sitze_Ausschuss,IF(TabSLS[[#This Row],[R1]]+COUNTIF(TabSLS[[R1]:[R37]],TabSLS[[#This Row],[R1]])-1&lt;=Sitze_Ausschuss,"SITZ","PATT"),"")</f>
        <v>SITZ</v>
      </c>
      <c r="BJ8" s="54" t="str">
        <f>IF(TabSLS[[#This Row],[R3]]&lt;=Sitze_Ausschuss,IF(TabSLS[[#This Row],[R3]]+COUNTIF(TabSLS[[R1]:[R37]],TabSLS[[#This Row],[R3]])-1&lt;=Sitze_Ausschuss,"SITZ","PATT"),"")</f>
        <v>SITZ</v>
      </c>
      <c r="BK8" s="54" t="str">
        <f>IF(TabSLS[[#This Row],[R5]]&lt;=Sitze_Ausschuss,IF(TabSLS[[#This Row],[R5]]+COUNTIF(TabSLS[[R1]:[R37]],TabSLS[[#This Row],[R5]])-1&lt;=Sitze_Ausschuss,"SITZ","PATT"),"")</f>
        <v>PATT</v>
      </c>
      <c r="BL8" s="54" t="str">
        <f>IF(TabSLS[[#This Row],[R7]]&lt;=Sitze_Ausschuss,IF(TabSLS[[#This Row],[R7]]+COUNTIF(TabSLS[[R1]:[R37]],TabSLS[[#This Row],[R7]])-1&lt;=Sitze_Ausschuss,"SITZ","PATT"),"")</f>
        <v/>
      </c>
      <c r="BM8" s="54" t="str">
        <f>IF(TabSLS[[#This Row],[R9]]&lt;=Sitze_Ausschuss,IF(TabSLS[[#This Row],[R9]]+COUNTIF(TabSLS[[R1]:[R37]],TabSLS[[#This Row],[R9]])-1&lt;=Sitze_Ausschuss,"SITZ","PATT"),"")</f>
        <v/>
      </c>
      <c r="BN8" s="54" t="str">
        <f>IF(TabSLS[[#This Row],[R11]]&lt;=Sitze_Ausschuss,IF(TabSLS[[#This Row],[R11]]+COUNTIF(TabSLS[[R1]:[R37]],TabSLS[[#This Row],[R11]])-1&lt;=Sitze_Ausschuss,"SITZ","PATT"),"")</f>
        <v/>
      </c>
      <c r="BO8" s="54" t="str">
        <f>IF(TabSLS[[#This Row],[R13]]&lt;=Sitze_Ausschuss,IF(TabSLS[[#This Row],[R13]]+COUNTIF(TabSLS[[R1]:[R37]],TabSLS[[#This Row],[R13]])-1&lt;=Sitze_Ausschuss,"SITZ","PATT"),"")</f>
        <v/>
      </c>
      <c r="BP8" s="54" t="str">
        <f>IF(TabSLS[[#This Row],[R15]]&lt;=Sitze_Ausschuss,IF(TabSLS[[#This Row],[R15]]+COUNTIF(TabSLS[[R1]:[R37]],TabSLS[[#This Row],[R15]])-1&lt;=Sitze_Ausschuss,"SITZ","PATT"),"")</f>
        <v/>
      </c>
      <c r="BQ8" s="54" t="str">
        <f>IF(TabSLS[[#This Row],[R17]]&lt;=Sitze_Ausschuss,IF(TabSLS[[#This Row],[R17]]+COUNTIF(TabSLS[[R1]:[R37]],TabSLS[[#This Row],[R17]])-1&lt;=Sitze_Ausschuss,"SITZ","PATT"),"")</f>
        <v/>
      </c>
      <c r="BR8" s="54" t="str">
        <f>IF(TabSLS[[#This Row],[R19]]&lt;=Sitze_Ausschuss,IF(TabSLS[[#This Row],[R19]]+COUNTIF(TabSLS[[R1]:[R37]],TabSLS[[#This Row],[R19]])-1&lt;=Sitze_Ausschuss,"SITZ","PATT"),"")</f>
        <v/>
      </c>
      <c r="BS8" s="54" t="str">
        <f>IF(TabSLS[[#This Row],[R21]]&lt;=Sitze_Ausschuss,IF(TabSLS[[#This Row],[R21]]+COUNTIF(TabSLS[[R1]:[R37]],TabSLS[[#This Row],[R21]])-1&lt;=Sitze_Ausschuss,"SITZ","PATT"),"")</f>
        <v/>
      </c>
      <c r="BT8" s="54" t="str">
        <f>IF(TabSLS[[#This Row],[R23]]&lt;=Sitze_Ausschuss,IF(TabSLS[[#This Row],[R23]]+COUNTIF(TabSLS[[R1]:[R37]],TabSLS[[#This Row],[R23]])-1&lt;=Sitze_Ausschuss,"SITZ","PATT"),"")</f>
        <v/>
      </c>
      <c r="BU8" s="54" t="str">
        <f>IF(TabSLS[[#This Row],[R25]]&lt;=Sitze_Ausschuss,IF(TabSLS[[#This Row],[R25]]+COUNTIF(TabSLS[[R1]:[R37]],TabSLS[[#This Row],[R25]])-1&lt;=Sitze_Ausschuss,"SITZ","PATT"),"")</f>
        <v/>
      </c>
      <c r="BV8" s="54" t="str">
        <f>IF(TabSLS[[#This Row],[R27]]&lt;=Sitze_Ausschuss,IF(TabSLS[[#This Row],[R27]]+COUNTIF(TabSLS[[R1]:[R37]],TabSLS[[#This Row],[R27]])-1&lt;=Sitze_Ausschuss,"SITZ","PATT"),"")</f>
        <v/>
      </c>
      <c r="BW8" s="54" t="str">
        <f>IF(TabSLS[[#This Row],[R29]]&lt;=Sitze_Ausschuss,IF(TabSLS[[#This Row],[R29]]+COUNTIF(TabSLS[[R1]:[R37]],TabSLS[[#This Row],[R29]])-1&lt;=Sitze_Ausschuss,"SITZ","PATT"),"")</f>
        <v/>
      </c>
      <c r="BX8" s="54" t="str">
        <f>IF(TabSLS[[#This Row],[R31]]&lt;=Sitze_Ausschuss,IF(TabSLS[[#This Row],[R31]]+COUNTIF(TabSLS[[R1]:[R37]],TabSLS[[#This Row],[R31]])-1&lt;=Sitze_Ausschuss,"SITZ","PATT"),"")</f>
        <v/>
      </c>
      <c r="BY8" s="54" t="str">
        <f>IF(TabSLS[[#This Row],[R33]]&lt;=Sitze_Ausschuss,IF(TabSLS[[#This Row],[R33]]+COUNTIF(TabSLS[[R1]:[R37]],TabSLS[[#This Row],[R33]])-1&lt;=Sitze_Ausschuss,"SITZ","PATT"),"")</f>
        <v/>
      </c>
      <c r="BZ8" s="54" t="str">
        <f>IF(TabSLS[[#This Row],[R35]]&lt;=Sitze_Ausschuss,IF(TabSLS[[#This Row],[R35]]+COUNTIF(TabSLS[[R1]:[R37]],TabSLS[[#This Row],[R35]])-1&lt;=Sitze_Ausschuss,"SITZ","PATT"),"")</f>
        <v/>
      </c>
      <c r="CA8" s="55" t="str">
        <f>IF(TabSLS[[#This Row],[R37]]&lt;=Sitze_Ausschuss,IF(TabSLS[[#This Row],[R37]]+COUNTIF(TabSLS[[R1]:[R37]],TabSLS[[#This Row],[R37]])-1&lt;=Sitze_Ausschuss,"SITZ","PATT"),"")</f>
        <v/>
      </c>
      <c r="CB8" s="56" t="b">
        <f>COUNTIF(TabSLS[[#This Row],[SP1]:[SP37]],"PATT")&gt;0</f>
        <v>1</v>
      </c>
      <c r="CC8" s="42">
        <f>IF(TabSLS[[#This Row],[Patt?]],(Sitze_Ausschuss-SUM(TabSLS[Sitze]))/TabSLS[[#Totals],[Patt?]],0)</f>
        <v>0.33333333333333331</v>
      </c>
      <c r="CD8" s="57">
        <f>TabSLS[[#This Row],[Patt?]]*IF(Pattaufloesung="Stimmen",TabPatt[[#This Row],[Stimmen]],TabPatt[[#This Row],[Loserfolg]])*1</f>
        <v>0</v>
      </c>
      <c r="CE8" s="58" t="b">
        <f>_xlfn.RANK.EQ(TabSLS[[#This Row],[Stimmen Gelost]],TabSLS[Stimmen Gelost],0)&lt;=(Sitze_Ausschuss-SUM(TabSLS[Sitze]))</f>
        <v>1</v>
      </c>
      <c r="CF8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8" s="3"/>
      <c r="CH8" s="45">
        <f>COUNTIF(TabDH[[#This Row],[SP1]:[SP19]],"SITZ")</f>
        <v>3</v>
      </c>
      <c r="CI8" s="46">
        <f>IF(TabDH[[#This Row],[Patt]],IF(Pattaufloesung="Los-Chance",TabDH[[#This Row],[Los Chance]],TabDH[[#This Row],[Pattgewinn]]+0),0)</f>
        <v>0</v>
      </c>
      <c r="CJ8" s="47">
        <f>Grunddaten[[#This Row],[Sitze im Hauptorgan]]/_xlfn.NUMBERVALUE(MID(INDEX(TabDH[[#Headers],[:1]:[:19]],COLUMN()-COLUMN(TabDH[[#Headers],[:1]])+1),2,3))</f>
        <v>5</v>
      </c>
      <c r="CK8" s="48">
        <f>Grunddaten[[#This Row],[Sitze im Hauptorgan]]/_xlfn.NUMBERVALUE(MID(INDEX(TabDH[[#Headers],[:1]:[:19]],COLUMN()-COLUMN(TabDH[[#Headers],[:1]])+1),2,3))</f>
        <v>2.5</v>
      </c>
      <c r="CL8" s="48">
        <f>Grunddaten[[#This Row],[Sitze im Hauptorgan]]/_xlfn.NUMBERVALUE(MID(INDEX(TabDH[[#Headers],[:1]:[:19]],COLUMN()-COLUMN(TabDH[[#Headers],[:1]])+1),2,3))</f>
        <v>1.6666666666666667</v>
      </c>
      <c r="CM8" s="48">
        <f>Grunddaten[[#This Row],[Sitze im Hauptorgan]]/_xlfn.NUMBERVALUE(MID(INDEX(TabDH[[#Headers],[:1]:[:19]],COLUMN()-COLUMN(TabDH[[#Headers],[:1]])+1),2,3))</f>
        <v>1.25</v>
      </c>
      <c r="CN8" s="48">
        <f>Grunddaten[[#This Row],[Sitze im Hauptorgan]]/_xlfn.NUMBERVALUE(MID(INDEX(TabDH[[#Headers],[:1]:[:19]],COLUMN()-COLUMN(TabDH[[#Headers],[:1]])+1),2,3))</f>
        <v>1</v>
      </c>
      <c r="CO8" s="48">
        <f>Grunddaten[[#This Row],[Sitze im Hauptorgan]]/_xlfn.NUMBERVALUE(MID(INDEX(TabDH[[#Headers],[:1]:[:19]],COLUMN()-COLUMN(TabDH[[#Headers],[:1]])+1),2,3))</f>
        <v>0.83333333333333337</v>
      </c>
      <c r="CP8" s="48">
        <f>Grunddaten[[#This Row],[Sitze im Hauptorgan]]/_xlfn.NUMBERVALUE(MID(INDEX(TabDH[[#Headers],[:1]:[:19]],COLUMN()-COLUMN(TabDH[[#Headers],[:1]])+1),2,3))</f>
        <v>0.7142857142857143</v>
      </c>
      <c r="CQ8" s="48">
        <f>Grunddaten[[#This Row],[Sitze im Hauptorgan]]/_xlfn.NUMBERVALUE(MID(INDEX(TabDH[[#Headers],[:1]:[:19]],COLUMN()-COLUMN(TabDH[[#Headers],[:1]])+1),2,3))</f>
        <v>0.625</v>
      </c>
      <c r="CR8" s="48">
        <f>Grunddaten[[#This Row],[Sitze im Hauptorgan]]/_xlfn.NUMBERVALUE(MID(INDEX(TabDH[[#Headers],[:1]:[:19]],COLUMN()-COLUMN(TabDH[[#Headers],[:1]])+1),2,3))</f>
        <v>0.55555555555555558</v>
      </c>
      <c r="CS8" s="48">
        <f>Grunddaten[[#This Row],[Sitze im Hauptorgan]]/_xlfn.NUMBERVALUE(MID(INDEX(TabDH[[#Headers],[:1]:[:19]],COLUMN()-COLUMN(TabDH[[#Headers],[:1]])+1),2,3))</f>
        <v>0.5</v>
      </c>
      <c r="CT8" s="48">
        <f>Grunddaten[[#This Row],[Sitze im Hauptorgan]]/_xlfn.NUMBERVALUE(MID(INDEX(TabDH[[#Headers],[:1]:[:19]],COLUMN()-COLUMN(TabDH[[#Headers],[:1]])+1),2,3))</f>
        <v>0.45454545454545453</v>
      </c>
      <c r="CU8" s="48">
        <f>Grunddaten[[#This Row],[Sitze im Hauptorgan]]/_xlfn.NUMBERVALUE(MID(INDEX(TabDH[[#Headers],[:1]:[:19]],COLUMN()-COLUMN(TabDH[[#Headers],[:1]])+1),2,3))</f>
        <v>0.41666666666666669</v>
      </c>
      <c r="CV8" s="48">
        <f>Grunddaten[[#This Row],[Sitze im Hauptorgan]]/_xlfn.NUMBERVALUE(MID(INDEX(TabDH[[#Headers],[:1]:[:19]],COLUMN()-COLUMN(TabDH[[#Headers],[:1]])+1),2,3))</f>
        <v>0.38461538461538464</v>
      </c>
      <c r="CW8" s="48">
        <f>Grunddaten[[#This Row],[Sitze im Hauptorgan]]/_xlfn.NUMBERVALUE(MID(INDEX(TabDH[[#Headers],[:1]:[:19]],COLUMN()-COLUMN(TabDH[[#Headers],[:1]])+1),2,3))</f>
        <v>0.35714285714285715</v>
      </c>
      <c r="CX8" s="48">
        <f>Grunddaten[[#This Row],[Sitze im Hauptorgan]]/_xlfn.NUMBERVALUE(MID(INDEX(TabDH[[#Headers],[:1]:[:19]],COLUMN()-COLUMN(TabDH[[#Headers],[:1]])+1),2,3))</f>
        <v>0.33333333333333331</v>
      </c>
      <c r="CY8" s="48">
        <f>Grunddaten[[#This Row],[Sitze im Hauptorgan]]/_xlfn.NUMBERVALUE(MID(INDEX(TabDH[[#Headers],[:1]:[:19]],COLUMN()-COLUMN(TabDH[[#Headers],[:1]])+1),2,3))</f>
        <v>0.3125</v>
      </c>
      <c r="CZ8" s="48">
        <f>Grunddaten[[#This Row],[Sitze im Hauptorgan]]/_xlfn.NUMBERVALUE(MID(INDEX(TabDH[[#Headers],[:1]:[:19]],COLUMN()-COLUMN(TabDH[[#Headers],[:1]])+1),2,3))</f>
        <v>0.29411764705882354</v>
      </c>
      <c r="DA8" s="48">
        <f>Grunddaten[[#This Row],[Sitze im Hauptorgan]]/_xlfn.NUMBERVALUE(MID(INDEX(TabDH[[#Headers],[:1]:[:19]],COLUMN()-COLUMN(TabDH[[#Headers],[:1]])+1),2,3))</f>
        <v>0.27777777777777779</v>
      </c>
      <c r="DB8" s="49">
        <f>Grunddaten[[#This Row],[Sitze im Hauptorgan]]/_xlfn.NUMBERVALUE(MID(INDEX(TabDH[[#Headers],[:1]:[:19]],COLUMN()-COLUMN(TabDH[[#Headers],[:1]])+1),2,3))</f>
        <v>0.26315789473684209</v>
      </c>
      <c r="DC8" s="50">
        <f>_xlfn.RANK.EQ(TabDH[[#This Row],[:1]],TabDH[[:1]:[:19]],0)</f>
        <v>2</v>
      </c>
      <c r="DD8" s="51">
        <f>_xlfn.RANK.EQ(TabDH[[#This Row],[:2]],TabDH[[:1]:[:19]],0)</f>
        <v>6</v>
      </c>
      <c r="DE8" s="51">
        <f>_xlfn.RANK.EQ(TabDH[[#This Row],[:3]],TabDH[[:1]:[:19]],0)</f>
        <v>10</v>
      </c>
      <c r="DF8" s="51">
        <f>_xlfn.RANK.EQ(TabDH[[#This Row],[:4]],TabDH[[:1]:[:19]],0)</f>
        <v>14</v>
      </c>
      <c r="DG8" s="51">
        <f>_xlfn.RANK.EQ(TabDH[[#This Row],[:5]],TabDH[[:1]:[:19]],0)</f>
        <v>16</v>
      </c>
      <c r="DH8" s="51">
        <f>_xlfn.RANK.EQ(TabDH[[#This Row],[:6]],TabDH[[:1]:[:19]],0)</f>
        <v>26</v>
      </c>
      <c r="DI8" s="51">
        <f>_xlfn.RANK.EQ(TabDH[[#This Row],[:7]],TabDH[[:1]:[:19]],0)</f>
        <v>30</v>
      </c>
      <c r="DJ8" s="51">
        <f>_xlfn.RANK.EQ(TabDH[[#This Row],[:8]],TabDH[[:1]:[:19]],0)</f>
        <v>34</v>
      </c>
      <c r="DK8" s="51">
        <f>_xlfn.RANK.EQ(TabDH[[#This Row],[:9]],TabDH[[:1]:[:19]],0)</f>
        <v>38</v>
      </c>
      <c r="DL8" s="51">
        <f>_xlfn.RANK.EQ(TabDH[[#This Row],[:10]],TabDH[[:1]:[:19]],0)</f>
        <v>40</v>
      </c>
      <c r="DM8" s="51">
        <f>_xlfn.RANK.EQ(TabDH[[#This Row],[:11]],TabDH[[:1]:[:19]],0)</f>
        <v>50</v>
      </c>
      <c r="DN8" s="51">
        <f>_xlfn.RANK.EQ(TabDH[[#This Row],[:12]],TabDH[[:1]:[:19]],0)</f>
        <v>54</v>
      </c>
      <c r="DO8" s="51">
        <f>_xlfn.RANK.EQ(TabDH[[#This Row],[:13]],TabDH[[:1]:[:19]],0)</f>
        <v>58</v>
      </c>
      <c r="DP8" s="51">
        <f>_xlfn.RANK.EQ(TabDH[[#This Row],[:14]],TabDH[[:1]:[:19]],0)</f>
        <v>62</v>
      </c>
      <c r="DQ8" s="51">
        <f>_xlfn.RANK.EQ(TabDH[[#This Row],[:15]],TabDH[[:1]:[:19]],0)</f>
        <v>64</v>
      </c>
      <c r="DR8" s="51">
        <f>_xlfn.RANK.EQ(TabDH[[#This Row],[:16]],TabDH[[:1]:[:19]],0)</f>
        <v>74</v>
      </c>
      <c r="DS8" s="51">
        <f>_xlfn.RANK.EQ(TabDH[[#This Row],[:17]],TabDH[[:1]:[:19]],0)</f>
        <v>77</v>
      </c>
      <c r="DT8" s="51">
        <f>_xlfn.RANK.EQ(TabDH[[#This Row],[:18]],TabDH[[:1]:[:19]],0)</f>
        <v>80</v>
      </c>
      <c r="DU8" s="52">
        <f>_xlfn.RANK.EQ(TabDH[[#This Row],[:19]],TabDH[[:1]:[:19]],0)</f>
        <v>83</v>
      </c>
      <c r="DV8" s="53" t="str">
        <f>IF(TabDH[[#This Row],[R1]]&lt;=Sitze_Ausschuss,IF(TabDH[[#This Row],[R1]]+COUNTIF(TabDH[[R1]:[R19]],TabDH[[#This Row],[R1]])-1&lt;=Sitze_Ausschuss,"SITZ","PATT"),"")</f>
        <v>SITZ</v>
      </c>
      <c r="DW8" s="54" t="str">
        <f>IF(TabDH[[#This Row],[R2]]&lt;=Sitze_Ausschuss,IF(TabDH[[#This Row],[R2]]+COUNTIF(TabDH[[R1]:[R19]],TabDH[[#This Row],[R2]])-1&lt;=Sitze_Ausschuss,"SITZ","PATT"),"")</f>
        <v>SITZ</v>
      </c>
      <c r="DX8" s="54" t="str">
        <f>IF(TabDH[[#This Row],[R3]]&lt;=Sitze_Ausschuss,IF(TabDH[[#This Row],[R3]]+COUNTIF(TabDH[[R1]:[R19]],TabDH[[#This Row],[R3]])-1&lt;=Sitze_Ausschuss,"SITZ","PATT"),"")</f>
        <v>SITZ</v>
      </c>
      <c r="DY8" s="54" t="str">
        <f>IF(TabDH[[#This Row],[R4]]&lt;=Sitze_Ausschuss,IF(TabDH[[#This Row],[R4]]+COUNTIF(TabDH[[R1]:[R19]],TabDH[[#This Row],[R4]])-1&lt;=Sitze_Ausschuss,"SITZ","PATT"),"")</f>
        <v/>
      </c>
      <c r="DZ8" s="54" t="str">
        <f>IF(TabDH[[#This Row],[R5]]&lt;=Sitze_Ausschuss,IF(TabDH[[#This Row],[R5]]+COUNTIF(TabDH[[R1]:[R19]],TabDH[[#This Row],[R5]])-1&lt;=Sitze_Ausschuss,"SITZ","PATT"),"")</f>
        <v/>
      </c>
      <c r="EA8" s="54" t="str">
        <f>IF(TabDH[[#This Row],[R6]]&lt;=Sitze_Ausschuss,IF(TabDH[[#This Row],[R6]]+COUNTIF(TabDH[[R1]:[R19]],TabDH[[#This Row],[R6]])-1&lt;=Sitze_Ausschuss,"SITZ","PATT"),"")</f>
        <v/>
      </c>
      <c r="EB8" s="54" t="str">
        <f>IF(TabDH[[#This Row],[R7]]&lt;=Sitze_Ausschuss,IF(TabDH[[#This Row],[R7]]+COUNTIF(TabDH[[R1]:[R19]],TabDH[[#This Row],[R7]])-1&lt;=Sitze_Ausschuss,"SITZ","PATT"),"")</f>
        <v/>
      </c>
      <c r="EC8" s="54" t="str">
        <f>IF(TabDH[[#This Row],[R8]]&lt;=Sitze_Ausschuss,IF(TabDH[[#This Row],[R8]]+COUNTIF(TabDH[[R1]:[R19]],TabDH[[#This Row],[R8]])-1&lt;=Sitze_Ausschuss,"SITZ","PATT"),"")</f>
        <v/>
      </c>
      <c r="ED8" s="54" t="str">
        <f>IF(TabDH[[#This Row],[R9]]&lt;=Sitze_Ausschuss,IF(TabDH[[#This Row],[R9]]+COUNTIF(TabDH[[R1]:[R19]],TabDH[[#This Row],[R9]])-1&lt;=Sitze_Ausschuss,"SITZ","PATT"),"")</f>
        <v/>
      </c>
      <c r="EE8" s="54" t="str">
        <f>IF(TabDH[[#This Row],[R10]]&lt;=Sitze_Ausschuss,IF(TabDH[[#This Row],[R10]]+COUNTIF(TabDH[[R1]:[R19]],TabDH[[#This Row],[R10]])-1&lt;=Sitze_Ausschuss,"SITZ","PATT"),"")</f>
        <v/>
      </c>
      <c r="EF8" s="54" t="str">
        <f>IF(TabDH[[#This Row],[R11]]&lt;=Sitze_Ausschuss,IF(TabDH[[#This Row],[R11]]+COUNTIF(TabDH[[R1]:[R19]],TabDH[[#This Row],[R11]])-1&lt;=Sitze_Ausschuss,"SITZ","PATT"),"")</f>
        <v/>
      </c>
      <c r="EG8" s="54" t="str">
        <f>IF(TabDH[[#This Row],[R12]]&lt;=Sitze_Ausschuss,IF(TabDH[[#This Row],[R12]]+COUNTIF(TabDH[[R1]:[R19]],TabDH[[#This Row],[R12]])-1&lt;=Sitze_Ausschuss,"SITZ","PATT"),"")</f>
        <v/>
      </c>
      <c r="EH8" s="54" t="str">
        <f>IF(TabDH[[#This Row],[R13]]&lt;=Sitze_Ausschuss,IF(TabDH[[#This Row],[R13]]+COUNTIF(TabDH[[R1]:[R19]],TabDH[[#This Row],[R13]])-1&lt;=Sitze_Ausschuss,"SITZ","PATT"),"")</f>
        <v/>
      </c>
      <c r="EI8" s="54" t="str">
        <f>IF(TabDH[[#This Row],[R14]]&lt;=Sitze_Ausschuss,IF(TabDH[[#This Row],[R14]]+COUNTIF(TabDH[[R1]:[R19]],TabDH[[#This Row],[R14]])-1&lt;=Sitze_Ausschuss,"SITZ","PATT"),"")</f>
        <v/>
      </c>
      <c r="EJ8" s="54" t="str">
        <f>IF(TabDH[[#This Row],[R15]]&lt;=Sitze_Ausschuss,IF(TabDH[[#This Row],[R15]]+COUNTIF(TabDH[[R1]:[R19]],TabDH[[#This Row],[R15]])-1&lt;=Sitze_Ausschuss,"SITZ","PATT"),"")</f>
        <v/>
      </c>
      <c r="EK8" s="54" t="str">
        <f>IF(TabDH[[#This Row],[R16]]&lt;=Sitze_Ausschuss,IF(TabDH[[#This Row],[R16]]+COUNTIF(TabDH[[R1]:[R19]],TabDH[[#This Row],[R16]])-1&lt;=Sitze_Ausschuss,"SITZ","PATT"),"")</f>
        <v/>
      </c>
      <c r="EL8" s="54" t="str">
        <f>IF(TabDH[[#This Row],[R17]]&lt;=Sitze_Ausschuss,IF(TabDH[[#This Row],[R17]]+COUNTIF(TabDH[[R1]:[R19]],TabDH[[#This Row],[R17]])-1&lt;=Sitze_Ausschuss,"SITZ","PATT"),"")</f>
        <v/>
      </c>
      <c r="EM8" s="54" t="str">
        <f>IF(TabDH[[#This Row],[R18]]&lt;=Sitze_Ausschuss,IF(TabDH[[#This Row],[R18]]+COUNTIF(TabDH[[R1]:[R19]],TabDH[[#This Row],[R18]])-1&lt;=Sitze_Ausschuss,"SITZ","PATT"),"")</f>
        <v/>
      </c>
      <c r="EN8" s="54" t="str">
        <f>IF(TabDH[[#This Row],[R19]]&lt;=Sitze_Ausschuss,IF(TabDH[[#This Row],[R19]]+COUNTIF(TabDH[[R1]:[R19]],TabDH[[#This Row],[R19]])-1&lt;=Sitze_Ausschuss,"SITZ","PATT"),"")</f>
        <v/>
      </c>
      <c r="EO8" s="56" t="b">
        <f>COUNTIF(TabDH[[#This Row],[SP1]:[SP19]],"PATT")&gt;0</f>
        <v>0</v>
      </c>
      <c r="EP8" s="42">
        <f>IF(TabDH[[#This Row],[Patt]],(Sitze_Ausschuss-SUM(TabDH[Sitze]))/TabDH[[#Totals],[Patt]],0)</f>
        <v>0</v>
      </c>
      <c r="EQ8" s="57">
        <f>TabDH[[#This Row],[Patt]]*IF(Pattaufloesung="Stimmen",TabPatt[[#This Row],[Stimmen]],TabPatt[[#This Row],[Loserfolg]])*1</f>
        <v>0</v>
      </c>
      <c r="ER8" s="58" t="b">
        <f>_xlfn.RANK.EQ(TabDH[[#This Row],[Stimmen/Gelost]],TabDH[Stimmen/Gelost],0)&lt;=(Sitze_Ausschuss-SUM(TabDH[Sitze]))</f>
        <v>1</v>
      </c>
      <c r="ES8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8" s="3"/>
      <c r="EU8" s="60" t="str">
        <f>Grunddaten[[#This Row],[Partei/Wählergruppe]]&amp;""</f>
        <v>GRÜNE</v>
      </c>
      <c r="EV8" s="85">
        <v>5432</v>
      </c>
      <c r="EW8" s="66" t="b">
        <v>0</v>
      </c>
      <c r="EX8" s="3"/>
      <c r="EY8" s="3"/>
      <c r="EZ8" s="3"/>
      <c r="FA8" s="3"/>
      <c r="FB8" s="3"/>
    </row>
    <row r="9" spans="1:164" x14ac:dyDescent="0.25">
      <c r="A9" s="3"/>
      <c r="B9" s="67" t="s">
        <v>121</v>
      </c>
      <c r="C9" s="85">
        <v>4</v>
      </c>
      <c r="D9" s="83">
        <f>Grunddaten[[#This Row],[Sitze im Hauptorgan]]/Grunddaten[[#Totals],[Sitze im Hauptorgan]]*Sitze_Ausschuss</f>
        <v>1.8333333333333333</v>
      </c>
      <c r="E9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1 oder 2</v>
      </c>
      <c r="F9" s="61" t="str">
        <f t="shared" si="0"/>
        <v>OK</v>
      </c>
      <c r="G9" s="62" t="str">
        <f>IF(TabSLS[[#This Row],[QK verletzt]],"NOK","OK")</f>
        <v>OK</v>
      </c>
      <c r="H9" s="63" t="str">
        <f>IF(TabDH[[#This Row],[QK verletzt]],"NOK","OK")</f>
        <v>OK</v>
      </c>
      <c r="I9" s="3"/>
      <c r="J9" s="37">
        <f>TabHN[[#This Row],[S ganz]]+IF(NOT(TabHN[[#This Row],[Patt]]),TabHN[[#This Row],[Restsitz]],0)</f>
        <v>2</v>
      </c>
      <c r="K9" s="38">
        <f>IF(TabHN[[#This Row],[Patt]],IF(Pattaufloesung="Los-Chance",TabHN[[#This Row],[Los Chance]],TabHN[[#This Row],[Pattgewinn]]+0),0)</f>
        <v>0</v>
      </c>
      <c r="L9" s="39">
        <f>INT(Grunddaten[[#This Row],[Proporzgenaue Zahl Ausschuss]])</f>
        <v>1</v>
      </c>
      <c r="M9" s="40">
        <f>ROUND(Grunddaten[[#This Row],[Proporzgenaue Zahl Ausschuss]]-TabHN[[#This Row],[S ganz]],4)</f>
        <v>0.83330000000000004</v>
      </c>
      <c r="N9" s="41">
        <f>_xlfn.RANK.EQ(TabHN[[#This Row],[S Rest]],TabHN[S Rest],0)</f>
        <v>2</v>
      </c>
      <c r="O9" s="39">
        <f>IF(TabHN[[#This Row],[Rng Rest]]&lt;=TabHN[[#Totals],[S Rest]],1,0)</f>
        <v>1</v>
      </c>
      <c r="P9" s="39" t="b">
        <f>AND(TabHN[[#This Row],[Restsitz]]=1,(COUNTIF(TabHN[Rng Rest],TabHN[[#This Row],[Rng Rest]])+TabHN[[#This Row],[Rng Rest]]-1)&gt;TabHN[[#Totals],[S Rest]])</f>
        <v>0</v>
      </c>
      <c r="Q9" s="42">
        <f>IF(TabHN[[#This Row],[Patt]],(Sitze_Ausschuss-SUM(TabHN[Sitze]))/TabHN[[#Totals],[Patt]],0)</f>
        <v>0</v>
      </c>
      <c r="R9" s="43">
        <f>TabHN[[#This Row],[Patt]]*IF(Pattaufloesung="Stimmen",TabPatt[[#This Row],[Stimmen]],TabPatt[[#This Row],[Loserfolg]])*1</f>
        <v>0</v>
      </c>
      <c r="S9" s="44" t="b">
        <f>_xlfn.RANK.EQ(TabHN[[#This Row],[Stimmen/Gelost]],TabHN[Stimmen/Gelost],0)&lt;=(Sitze_Ausschuss-SUM(TabHN[Sitze]))</f>
        <v>1</v>
      </c>
      <c r="T9" s="3"/>
      <c r="U9" s="45">
        <f>COUNTIF(TabSLS[[#This Row],[SP1]:[SP37]],"SITZ")</f>
        <v>2</v>
      </c>
      <c r="V9" s="46">
        <f>IF(TabSLS[[#This Row],[Patt?]],IF(Pattaufloesung="Los-Chance",TabSLS[[#This Row],[Los Chance]],TabSLS[[#This Row],[Pattgewinn]]+0),0)</f>
        <v>0</v>
      </c>
      <c r="W9" s="47">
        <f>Grunddaten[[#This Row],[Sitze im Hauptorgan]]/_xlfn.NUMBERVALUE(MID(INDEX(TabSLS[[#Headers],[:1]:[:37]],COLUMN()-COLUMN(TabSLS[[#Headers],[:1]])+1),2,3))</f>
        <v>4</v>
      </c>
      <c r="X9" s="48">
        <f>Grunddaten[[#This Row],[Sitze im Hauptorgan]]/_xlfn.NUMBERVALUE(MID(INDEX(TabSLS[[#Headers],[:1]:[:37]],COLUMN()-COLUMN(TabSLS[[#Headers],[:1]])+1),2,3))</f>
        <v>1.3333333333333333</v>
      </c>
      <c r="Y9" s="48">
        <f>Grunddaten[[#This Row],[Sitze im Hauptorgan]]/_xlfn.NUMBERVALUE(MID(INDEX(TabSLS[[#Headers],[:1]:[:37]],COLUMN()-COLUMN(TabSLS[[#Headers],[:1]])+1),2,3))</f>
        <v>0.8</v>
      </c>
      <c r="Z9" s="48">
        <f>Grunddaten[[#This Row],[Sitze im Hauptorgan]]/_xlfn.NUMBERVALUE(MID(INDEX(TabSLS[[#Headers],[:1]:[:37]],COLUMN()-COLUMN(TabSLS[[#Headers],[:1]])+1),2,3))</f>
        <v>0.5714285714285714</v>
      </c>
      <c r="AA9" s="48">
        <f>Grunddaten[[#This Row],[Sitze im Hauptorgan]]/_xlfn.NUMBERVALUE(MID(INDEX(TabSLS[[#Headers],[:1]:[:37]],COLUMN()-COLUMN(TabSLS[[#Headers],[:1]])+1),2,3))</f>
        <v>0.44444444444444442</v>
      </c>
      <c r="AB9" s="48">
        <f>Grunddaten[[#This Row],[Sitze im Hauptorgan]]/_xlfn.NUMBERVALUE(MID(INDEX(TabSLS[[#Headers],[:1]:[:37]],COLUMN()-COLUMN(TabSLS[[#Headers],[:1]])+1),2,3))</f>
        <v>0.36363636363636365</v>
      </c>
      <c r="AC9" s="48">
        <f>Grunddaten[[#This Row],[Sitze im Hauptorgan]]/_xlfn.NUMBERVALUE(MID(INDEX(TabSLS[[#Headers],[:1]:[:37]],COLUMN()-COLUMN(TabSLS[[#Headers],[:1]])+1),2,3))</f>
        <v>0.30769230769230771</v>
      </c>
      <c r="AD9" s="48">
        <f>Grunddaten[[#This Row],[Sitze im Hauptorgan]]/_xlfn.NUMBERVALUE(MID(INDEX(TabSLS[[#Headers],[:1]:[:37]],COLUMN()-COLUMN(TabSLS[[#Headers],[:1]])+1),2,3))</f>
        <v>0.26666666666666666</v>
      </c>
      <c r="AE9" s="48">
        <f>Grunddaten[[#This Row],[Sitze im Hauptorgan]]/_xlfn.NUMBERVALUE(MID(INDEX(TabSLS[[#Headers],[:1]:[:37]],COLUMN()-COLUMN(TabSLS[[#Headers],[:1]])+1),2,3))</f>
        <v>0.23529411764705882</v>
      </c>
      <c r="AF9" s="48">
        <f>Grunddaten[[#This Row],[Sitze im Hauptorgan]]/_xlfn.NUMBERVALUE(MID(INDEX(TabSLS[[#Headers],[:1]:[:37]],COLUMN()-COLUMN(TabSLS[[#Headers],[:1]])+1),2,3))</f>
        <v>0.21052631578947367</v>
      </c>
      <c r="AG9" s="48">
        <f>Grunddaten[[#This Row],[Sitze im Hauptorgan]]/_xlfn.NUMBERVALUE(MID(INDEX(TabSLS[[#Headers],[:1]:[:37]],COLUMN()-COLUMN(TabSLS[[#Headers],[:1]])+1),2,3))</f>
        <v>0.19047619047619047</v>
      </c>
      <c r="AH9" s="48">
        <f>Grunddaten[[#This Row],[Sitze im Hauptorgan]]/_xlfn.NUMBERVALUE(MID(INDEX(TabSLS[[#Headers],[:1]:[:37]],COLUMN()-COLUMN(TabSLS[[#Headers],[:1]])+1),2,3))</f>
        <v>0.17391304347826086</v>
      </c>
      <c r="AI9" s="48">
        <f>Grunddaten[[#This Row],[Sitze im Hauptorgan]]/_xlfn.NUMBERVALUE(MID(INDEX(TabSLS[[#Headers],[:1]:[:37]],COLUMN()-COLUMN(TabSLS[[#Headers],[:1]])+1),2,3))</f>
        <v>0.16</v>
      </c>
      <c r="AJ9" s="48">
        <f>Grunddaten[[#This Row],[Sitze im Hauptorgan]]/_xlfn.NUMBERVALUE(MID(INDEX(TabSLS[[#Headers],[:1]:[:37]],COLUMN()-COLUMN(TabSLS[[#Headers],[:1]])+1),2,3))</f>
        <v>0.14814814814814814</v>
      </c>
      <c r="AK9" s="48">
        <f>Grunddaten[[#This Row],[Sitze im Hauptorgan]]/_xlfn.NUMBERVALUE(MID(INDEX(TabSLS[[#Headers],[:1]:[:37]],COLUMN()-COLUMN(TabSLS[[#Headers],[:1]])+1),2,3))</f>
        <v>0.13793103448275862</v>
      </c>
      <c r="AL9" s="48">
        <f>Grunddaten[[#This Row],[Sitze im Hauptorgan]]/_xlfn.NUMBERVALUE(MID(INDEX(TabSLS[[#Headers],[:1]:[:37]],COLUMN()-COLUMN(TabSLS[[#Headers],[:1]])+1),2,3))</f>
        <v>0.12903225806451613</v>
      </c>
      <c r="AM9" s="48">
        <f>Grunddaten[[#This Row],[Sitze im Hauptorgan]]/_xlfn.NUMBERVALUE(MID(INDEX(TabSLS[[#Headers],[:1]:[:37]],COLUMN()-COLUMN(TabSLS[[#Headers],[:1]])+1),2,3))</f>
        <v>0.12121212121212122</v>
      </c>
      <c r="AN9" s="48">
        <f>Grunddaten[[#This Row],[Sitze im Hauptorgan]]/_xlfn.NUMBERVALUE(MID(INDEX(TabSLS[[#Headers],[:1]:[:37]],COLUMN()-COLUMN(TabSLS[[#Headers],[:1]])+1),2,3))</f>
        <v>0.11428571428571428</v>
      </c>
      <c r="AO9" s="49">
        <f>Grunddaten[[#This Row],[Sitze im Hauptorgan]]/_xlfn.NUMBERVALUE(MID(INDEX(TabSLS[[#Headers],[:1]:[:37]],COLUMN()-COLUMN(TabSLS[[#Headers],[:1]])+1),2,3))</f>
        <v>0.10810810810810811</v>
      </c>
      <c r="AP9" s="50">
        <f>_xlfn.RANK.EQ(TabSLS[[#This Row],[:1]],TabSLS[[:1]:[:37]],0)</f>
        <v>3</v>
      </c>
      <c r="AQ9" s="51">
        <f>_xlfn.RANK.EQ(TabSLS[[#This Row],[:3]],TabSLS[[:1]:[:37]],0)</f>
        <v>8</v>
      </c>
      <c r="AR9" s="51">
        <f>_xlfn.RANK.EQ(TabSLS[[#This Row],[:5]],TabSLS[[:1]:[:37]],0)</f>
        <v>17</v>
      </c>
      <c r="AS9" s="51">
        <f>_xlfn.RANK.EQ(TabSLS[[#This Row],[:7]],TabSLS[[:1]:[:37]],0)</f>
        <v>22</v>
      </c>
      <c r="AT9" s="51">
        <f>_xlfn.RANK.EQ(TabSLS[[#This Row],[:9]],TabSLS[[:1]:[:37]],0)</f>
        <v>27</v>
      </c>
      <c r="AU9" s="51">
        <f>_xlfn.RANK.EQ(TabSLS[[#This Row],[:11]],TabSLS[[:1]:[:37]],0)</f>
        <v>32</v>
      </c>
      <c r="AV9" s="51">
        <f>_xlfn.RANK.EQ(TabSLS[[#This Row],[:13]],TabSLS[[:1]:[:37]],0)</f>
        <v>41</v>
      </c>
      <c r="AW9" s="51">
        <f>_xlfn.RANK.EQ(TabSLS[[#This Row],[:15]],TabSLS[[:1]:[:37]],0)</f>
        <v>46</v>
      </c>
      <c r="AX9" s="51">
        <f>_xlfn.RANK.EQ(TabSLS[[#This Row],[:17]],TabSLS[[:1]:[:37]],0)</f>
        <v>51</v>
      </c>
      <c r="AY9" s="51">
        <f>_xlfn.RANK.EQ(TabSLS[[#This Row],[:19]],TabSLS[[:1]:[:37]],0)</f>
        <v>56</v>
      </c>
      <c r="AZ9" s="51">
        <f>_xlfn.RANK.EQ(TabSLS[[#This Row],[:21]],TabSLS[[:1]:[:37]],0)</f>
        <v>65</v>
      </c>
      <c r="BA9" s="51">
        <f>_xlfn.RANK.EQ(TabSLS[[#This Row],[:23]],TabSLS[[:1]:[:37]],0)</f>
        <v>70</v>
      </c>
      <c r="BB9" s="51">
        <f>_xlfn.RANK.EQ(TabSLS[[#This Row],[:25]],TabSLS[[:1]:[:37]],0)</f>
        <v>75</v>
      </c>
      <c r="BC9" s="51">
        <f>_xlfn.RANK.EQ(TabSLS[[#This Row],[:27]],TabSLS[[:1]:[:37]],0)</f>
        <v>79</v>
      </c>
      <c r="BD9" s="51">
        <f>_xlfn.RANK.EQ(TabSLS[[#This Row],[:29]],TabSLS[[:1]:[:37]],0)</f>
        <v>86</v>
      </c>
      <c r="BE9" s="51">
        <f>_xlfn.RANK.EQ(TabSLS[[#This Row],[:31]],TabSLS[[:1]:[:37]],0)</f>
        <v>90</v>
      </c>
      <c r="BF9" s="51">
        <f>_xlfn.RANK.EQ(TabSLS[[#This Row],[:33]],TabSLS[[:1]:[:37]],0)</f>
        <v>91</v>
      </c>
      <c r="BG9" s="51">
        <f>_xlfn.RANK.EQ(TabSLS[[#This Row],[:35]],TabSLS[[:1]:[:37]],0)</f>
        <v>94</v>
      </c>
      <c r="BH9" s="52">
        <f>_xlfn.RANK.EQ(TabSLS[[#This Row],[:37]],TabSLS[[:1]:[:37]],0)</f>
        <v>100</v>
      </c>
      <c r="BI9" s="53" t="str">
        <f>IF(TabSLS[[#This Row],[R1]]&lt;=Sitze_Ausschuss,IF(TabSLS[[#This Row],[R1]]+COUNTIF(TabSLS[[R1]:[R37]],TabSLS[[#This Row],[R1]])-1&lt;=Sitze_Ausschuss,"SITZ","PATT"),"")</f>
        <v>SITZ</v>
      </c>
      <c r="BJ9" s="54" t="str">
        <f>IF(TabSLS[[#This Row],[R3]]&lt;=Sitze_Ausschuss,IF(TabSLS[[#This Row],[R3]]+COUNTIF(TabSLS[[R1]:[R37]],TabSLS[[#This Row],[R3]])-1&lt;=Sitze_Ausschuss,"SITZ","PATT"),"")</f>
        <v>SITZ</v>
      </c>
      <c r="BK9" s="54" t="str">
        <f>IF(TabSLS[[#This Row],[R5]]&lt;=Sitze_Ausschuss,IF(TabSLS[[#This Row],[R5]]+COUNTIF(TabSLS[[R1]:[R37]],TabSLS[[#This Row],[R5]])-1&lt;=Sitze_Ausschuss,"SITZ","PATT"),"")</f>
        <v/>
      </c>
      <c r="BL9" s="54" t="str">
        <f>IF(TabSLS[[#This Row],[R7]]&lt;=Sitze_Ausschuss,IF(TabSLS[[#This Row],[R7]]+COUNTIF(TabSLS[[R1]:[R37]],TabSLS[[#This Row],[R7]])-1&lt;=Sitze_Ausschuss,"SITZ","PATT"),"")</f>
        <v/>
      </c>
      <c r="BM9" s="54" t="str">
        <f>IF(TabSLS[[#This Row],[R9]]&lt;=Sitze_Ausschuss,IF(TabSLS[[#This Row],[R9]]+COUNTIF(TabSLS[[R1]:[R37]],TabSLS[[#This Row],[R9]])-1&lt;=Sitze_Ausschuss,"SITZ","PATT"),"")</f>
        <v/>
      </c>
      <c r="BN9" s="54" t="str">
        <f>IF(TabSLS[[#This Row],[R11]]&lt;=Sitze_Ausschuss,IF(TabSLS[[#This Row],[R11]]+COUNTIF(TabSLS[[R1]:[R37]],TabSLS[[#This Row],[R11]])-1&lt;=Sitze_Ausschuss,"SITZ","PATT"),"")</f>
        <v/>
      </c>
      <c r="BO9" s="54" t="str">
        <f>IF(TabSLS[[#This Row],[R13]]&lt;=Sitze_Ausschuss,IF(TabSLS[[#This Row],[R13]]+COUNTIF(TabSLS[[R1]:[R37]],TabSLS[[#This Row],[R13]])-1&lt;=Sitze_Ausschuss,"SITZ","PATT"),"")</f>
        <v/>
      </c>
      <c r="BP9" s="54" t="str">
        <f>IF(TabSLS[[#This Row],[R15]]&lt;=Sitze_Ausschuss,IF(TabSLS[[#This Row],[R15]]+COUNTIF(TabSLS[[R1]:[R37]],TabSLS[[#This Row],[R15]])-1&lt;=Sitze_Ausschuss,"SITZ","PATT"),"")</f>
        <v/>
      </c>
      <c r="BQ9" s="54" t="str">
        <f>IF(TabSLS[[#This Row],[R17]]&lt;=Sitze_Ausschuss,IF(TabSLS[[#This Row],[R17]]+COUNTIF(TabSLS[[R1]:[R37]],TabSLS[[#This Row],[R17]])-1&lt;=Sitze_Ausschuss,"SITZ","PATT"),"")</f>
        <v/>
      </c>
      <c r="BR9" s="54" t="str">
        <f>IF(TabSLS[[#This Row],[R19]]&lt;=Sitze_Ausschuss,IF(TabSLS[[#This Row],[R19]]+COUNTIF(TabSLS[[R1]:[R37]],TabSLS[[#This Row],[R19]])-1&lt;=Sitze_Ausschuss,"SITZ","PATT"),"")</f>
        <v/>
      </c>
      <c r="BS9" s="54" t="str">
        <f>IF(TabSLS[[#This Row],[R21]]&lt;=Sitze_Ausschuss,IF(TabSLS[[#This Row],[R21]]+COUNTIF(TabSLS[[R1]:[R37]],TabSLS[[#This Row],[R21]])-1&lt;=Sitze_Ausschuss,"SITZ","PATT"),"")</f>
        <v/>
      </c>
      <c r="BT9" s="54" t="str">
        <f>IF(TabSLS[[#This Row],[R23]]&lt;=Sitze_Ausschuss,IF(TabSLS[[#This Row],[R23]]+COUNTIF(TabSLS[[R1]:[R37]],TabSLS[[#This Row],[R23]])-1&lt;=Sitze_Ausschuss,"SITZ","PATT"),"")</f>
        <v/>
      </c>
      <c r="BU9" s="54" t="str">
        <f>IF(TabSLS[[#This Row],[R25]]&lt;=Sitze_Ausschuss,IF(TabSLS[[#This Row],[R25]]+COUNTIF(TabSLS[[R1]:[R37]],TabSLS[[#This Row],[R25]])-1&lt;=Sitze_Ausschuss,"SITZ","PATT"),"")</f>
        <v/>
      </c>
      <c r="BV9" s="54" t="str">
        <f>IF(TabSLS[[#This Row],[R27]]&lt;=Sitze_Ausschuss,IF(TabSLS[[#This Row],[R27]]+COUNTIF(TabSLS[[R1]:[R37]],TabSLS[[#This Row],[R27]])-1&lt;=Sitze_Ausschuss,"SITZ","PATT"),"")</f>
        <v/>
      </c>
      <c r="BW9" s="54" t="str">
        <f>IF(TabSLS[[#This Row],[R29]]&lt;=Sitze_Ausschuss,IF(TabSLS[[#This Row],[R29]]+COUNTIF(TabSLS[[R1]:[R37]],TabSLS[[#This Row],[R29]])-1&lt;=Sitze_Ausschuss,"SITZ","PATT"),"")</f>
        <v/>
      </c>
      <c r="BX9" s="54" t="str">
        <f>IF(TabSLS[[#This Row],[R31]]&lt;=Sitze_Ausschuss,IF(TabSLS[[#This Row],[R31]]+COUNTIF(TabSLS[[R1]:[R37]],TabSLS[[#This Row],[R31]])-1&lt;=Sitze_Ausschuss,"SITZ","PATT"),"")</f>
        <v/>
      </c>
      <c r="BY9" s="54" t="str">
        <f>IF(TabSLS[[#This Row],[R33]]&lt;=Sitze_Ausschuss,IF(TabSLS[[#This Row],[R33]]+COUNTIF(TabSLS[[R1]:[R37]],TabSLS[[#This Row],[R33]])-1&lt;=Sitze_Ausschuss,"SITZ","PATT"),"")</f>
        <v/>
      </c>
      <c r="BZ9" s="54" t="str">
        <f>IF(TabSLS[[#This Row],[R35]]&lt;=Sitze_Ausschuss,IF(TabSLS[[#This Row],[R35]]+COUNTIF(TabSLS[[R1]:[R37]],TabSLS[[#This Row],[R35]])-1&lt;=Sitze_Ausschuss,"SITZ","PATT"),"")</f>
        <v/>
      </c>
      <c r="CA9" s="55" t="str">
        <f>IF(TabSLS[[#This Row],[R37]]&lt;=Sitze_Ausschuss,IF(TabSLS[[#This Row],[R37]]+COUNTIF(TabSLS[[R1]:[R37]],TabSLS[[#This Row],[R37]])-1&lt;=Sitze_Ausschuss,"SITZ","PATT"),"")</f>
        <v/>
      </c>
      <c r="CB9" s="56" t="b">
        <f>COUNTIF(TabSLS[[#This Row],[SP1]:[SP37]],"PATT")&gt;0</f>
        <v>0</v>
      </c>
      <c r="CC9" s="42">
        <f>IF(TabSLS[[#This Row],[Patt?]],(Sitze_Ausschuss-SUM(TabSLS[Sitze]))/TabSLS[[#Totals],[Patt?]],0)</f>
        <v>0</v>
      </c>
      <c r="CD9" s="57">
        <f>TabSLS[[#This Row],[Patt?]]*IF(Pattaufloesung="Stimmen",TabPatt[[#This Row],[Stimmen]],TabPatt[[#This Row],[Loserfolg]])*1</f>
        <v>0</v>
      </c>
      <c r="CE9" s="58" t="b">
        <f>_xlfn.RANK.EQ(TabSLS[[#This Row],[Stimmen Gelost]],TabSLS[Stimmen Gelost],0)&lt;=(Sitze_Ausschuss-SUM(TabSLS[Sitze]))</f>
        <v>1</v>
      </c>
      <c r="CF9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9" s="3"/>
      <c r="CH9" s="45">
        <f>COUNTIF(TabDH[[#This Row],[SP1]:[SP19]],"SITZ")</f>
        <v>2</v>
      </c>
      <c r="CI9" s="46">
        <f>IF(TabDH[[#This Row],[Patt]],IF(Pattaufloesung="Los-Chance",TabDH[[#This Row],[Los Chance]],TabDH[[#This Row],[Pattgewinn]]+0),0)</f>
        <v>0</v>
      </c>
      <c r="CJ9" s="47">
        <f>Grunddaten[[#This Row],[Sitze im Hauptorgan]]/_xlfn.NUMBERVALUE(MID(INDEX(TabDH[[#Headers],[:1]:[:19]],COLUMN()-COLUMN(TabDH[[#Headers],[:1]])+1),2,3))</f>
        <v>4</v>
      </c>
      <c r="CK9" s="48">
        <f>Grunddaten[[#This Row],[Sitze im Hauptorgan]]/_xlfn.NUMBERVALUE(MID(INDEX(TabDH[[#Headers],[:1]:[:19]],COLUMN()-COLUMN(TabDH[[#Headers],[:1]])+1),2,3))</f>
        <v>2</v>
      </c>
      <c r="CL9" s="48">
        <f>Grunddaten[[#This Row],[Sitze im Hauptorgan]]/_xlfn.NUMBERVALUE(MID(INDEX(TabDH[[#Headers],[:1]:[:19]],COLUMN()-COLUMN(TabDH[[#Headers],[:1]])+1),2,3))</f>
        <v>1.3333333333333333</v>
      </c>
      <c r="CM9" s="48">
        <f>Grunddaten[[#This Row],[Sitze im Hauptorgan]]/_xlfn.NUMBERVALUE(MID(INDEX(TabDH[[#Headers],[:1]:[:19]],COLUMN()-COLUMN(TabDH[[#Headers],[:1]])+1),2,3))</f>
        <v>1</v>
      </c>
      <c r="CN9" s="48">
        <f>Grunddaten[[#This Row],[Sitze im Hauptorgan]]/_xlfn.NUMBERVALUE(MID(INDEX(TabDH[[#Headers],[:1]:[:19]],COLUMN()-COLUMN(TabDH[[#Headers],[:1]])+1),2,3))</f>
        <v>0.8</v>
      </c>
      <c r="CO9" s="48">
        <f>Grunddaten[[#This Row],[Sitze im Hauptorgan]]/_xlfn.NUMBERVALUE(MID(INDEX(TabDH[[#Headers],[:1]:[:19]],COLUMN()-COLUMN(TabDH[[#Headers],[:1]])+1),2,3))</f>
        <v>0.66666666666666663</v>
      </c>
      <c r="CP9" s="48">
        <f>Grunddaten[[#This Row],[Sitze im Hauptorgan]]/_xlfn.NUMBERVALUE(MID(INDEX(TabDH[[#Headers],[:1]:[:19]],COLUMN()-COLUMN(TabDH[[#Headers],[:1]])+1),2,3))</f>
        <v>0.5714285714285714</v>
      </c>
      <c r="CQ9" s="48">
        <f>Grunddaten[[#This Row],[Sitze im Hauptorgan]]/_xlfn.NUMBERVALUE(MID(INDEX(TabDH[[#Headers],[:1]:[:19]],COLUMN()-COLUMN(TabDH[[#Headers],[:1]])+1),2,3))</f>
        <v>0.5</v>
      </c>
      <c r="CR9" s="48">
        <f>Grunddaten[[#This Row],[Sitze im Hauptorgan]]/_xlfn.NUMBERVALUE(MID(INDEX(TabDH[[#Headers],[:1]:[:19]],COLUMN()-COLUMN(TabDH[[#Headers],[:1]])+1),2,3))</f>
        <v>0.44444444444444442</v>
      </c>
      <c r="CS9" s="48">
        <f>Grunddaten[[#This Row],[Sitze im Hauptorgan]]/_xlfn.NUMBERVALUE(MID(INDEX(TabDH[[#Headers],[:1]:[:19]],COLUMN()-COLUMN(TabDH[[#Headers],[:1]])+1),2,3))</f>
        <v>0.4</v>
      </c>
      <c r="CT9" s="48">
        <f>Grunddaten[[#This Row],[Sitze im Hauptorgan]]/_xlfn.NUMBERVALUE(MID(INDEX(TabDH[[#Headers],[:1]:[:19]],COLUMN()-COLUMN(TabDH[[#Headers],[:1]])+1),2,3))</f>
        <v>0.36363636363636365</v>
      </c>
      <c r="CU9" s="48">
        <f>Grunddaten[[#This Row],[Sitze im Hauptorgan]]/_xlfn.NUMBERVALUE(MID(INDEX(TabDH[[#Headers],[:1]:[:19]],COLUMN()-COLUMN(TabDH[[#Headers],[:1]])+1),2,3))</f>
        <v>0.33333333333333331</v>
      </c>
      <c r="CV9" s="48">
        <f>Grunddaten[[#This Row],[Sitze im Hauptorgan]]/_xlfn.NUMBERVALUE(MID(INDEX(TabDH[[#Headers],[:1]:[:19]],COLUMN()-COLUMN(TabDH[[#Headers],[:1]])+1),2,3))</f>
        <v>0.30769230769230771</v>
      </c>
      <c r="CW9" s="48">
        <f>Grunddaten[[#This Row],[Sitze im Hauptorgan]]/_xlfn.NUMBERVALUE(MID(INDEX(TabDH[[#Headers],[:1]:[:19]],COLUMN()-COLUMN(TabDH[[#Headers],[:1]])+1),2,3))</f>
        <v>0.2857142857142857</v>
      </c>
      <c r="CX9" s="48">
        <f>Grunddaten[[#This Row],[Sitze im Hauptorgan]]/_xlfn.NUMBERVALUE(MID(INDEX(TabDH[[#Headers],[:1]:[:19]],COLUMN()-COLUMN(TabDH[[#Headers],[:1]])+1),2,3))</f>
        <v>0.26666666666666666</v>
      </c>
      <c r="CY9" s="48">
        <f>Grunddaten[[#This Row],[Sitze im Hauptorgan]]/_xlfn.NUMBERVALUE(MID(INDEX(TabDH[[#Headers],[:1]:[:19]],COLUMN()-COLUMN(TabDH[[#Headers],[:1]])+1),2,3))</f>
        <v>0.25</v>
      </c>
      <c r="CZ9" s="48">
        <f>Grunddaten[[#This Row],[Sitze im Hauptorgan]]/_xlfn.NUMBERVALUE(MID(INDEX(TabDH[[#Headers],[:1]:[:19]],COLUMN()-COLUMN(TabDH[[#Headers],[:1]])+1),2,3))</f>
        <v>0.23529411764705882</v>
      </c>
      <c r="DA9" s="48">
        <f>Grunddaten[[#This Row],[Sitze im Hauptorgan]]/_xlfn.NUMBERVALUE(MID(INDEX(TabDH[[#Headers],[:1]:[:19]],COLUMN()-COLUMN(TabDH[[#Headers],[:1]])+1),2,3))</f>
        <v>0.22222222222222221</v>
      </c>
      <c r="DB9" s="49">
        <f>Grunddaten[[#This Row],[Sitze im Hauptorgan]]/_xlfn.NUMBERVALUE(MID(INDEX(TabDH[[#Headers],[:1]:[:19]],COLUMN()-COLUMN(TabDH[[#Headers],[:1]])+1),2,3))</f>
        <v>0.21052631578947367</v>
      </c>
      <c r="DC9" s="50">
        <f>_xlfn.RANK.EQ(TabDH[[#This Row],[:1]],TabDH[[:1]:[:19]],0)</f>
        <v>3</v>
      </c>
      <c r="DD9" s="51">
        <f>_xlfn.RANK.EQ(TabDH[[#This Row],[:2]],TabDH[[:1]:[:19]],0)</f>
        <v>7</v>
      </c>
      <c r="DE9" s="51">
        <f>_xlfn.RANK.EQ(TabDH[[#This Row],[:3]],TabDH[[:1]:[:19]],0)</f>
        <v>13</v>
      </c>
      <c r="DF9" s="51">
        <f>_xlfn.RANK.EQ(TabDH[[#This Row],[:4]],TabDH[[:1]:[:19]],0)</f>
        <v>16</v>
      </c>
      <c r="DG9" s="51">
        <f>_xlfn.RANK.EQ(TabDH[[#This Row],[:5]],TabDH[[:1]:[:19]],0)</f>
        <v>27</v>
      </c>
      <c r="DH9" s="51">
        <f>_xlfn.RANK.EQ(TabDH[[#This Row],[:6]],TabDH[[:1]:[:19]],0)</f>
        <v>31</v>
      </c>
      <c r="DI9" s="51">
        <f>_xlfn.RANK.EQ(TabDH[[#This Row],[:7]],TabDH[[:1]:[:19]],0)</f>
        <v>37</v>
      </c>
      <c r="DJ9" s="51">
        <f>_xlfn.RANK.EQ(TabDH[[#This Row],[:8]],TabDH[[:1]:[:19]],0)</f>
        <v>40</v>
      </c>
      <c r="DK9" s="51">
        <f>_xlfn.RANK.EQ(TabDH[[#This Row],[:9]],TabDH[[:1]:[:19]],0)</f>
        <v>51</v>
      </c>
      <c r="DL9" s="51">
        <f>_xlfn.RANK.EQ(TabDH[[#This Row],[:10]],TabDH[[:1]:[:19]],0)</f>
        <v>55</v>
      </c>
      <c r="DM9" s="51">
        <f>_xlfn.RANK.EQ(TabDH[[#This Row],[:11]],TabDH[[:1]:[:19]],0)</f>
        <v>61</v>
      </c>
      <c r="DN9" s="51">
        <f>_xlfn.RANK.EQ(TabDH[[#This Row],[:12]],TabDH[[:1]:[:19]],0)</f>
        <v>64</v>
      </c>
      <c r="DO9" s="51">
        <f>_xlfn.RANK.EQ(TabDH[[#This Row],[:13]],TabDH[[:1]:[:19]],0)</f>
        <v>75</v>
      </c>
      <c r="DP9" s="51">
        <f>_xlfn.RANK.EQ(TabDH[[#This Row],[:14]],TabDH[[:1]:[:19]],0)</f>
        <v>78</v>
      </c>
      <c r="DQ9" s="51">
        <f>_xlfn.RANK.EQ(TabDH[[#This Row],[:15]],TabDH[[:1]:[:19]],0)</f>
        <v>82</v>
      </c>
      <c r="DR9" s="51">
        <f>_xlfn.RANK.EQ(TabDH[[#This Row],[:16]],TabDH[[:1]:[:19]],0)</f>
        <v>84</v>
      </c>
      <c r="DS9" s="51">
        <f>_xlfn.RANK.EQ(TabDH[[#This Row],[:17]],TabDH[[:1]:[:19]],0)</f>
        <v>91</v>
      </c>
      <c r="DT9" s="51">
        <f>_xlfn.RANK.EQ(TabDH[[#This Row],[:18]],TabDH[[:1]:[:19]],0)</f>
        <v>93</v>
      </c>
      <c r="DU9" s="52">
        <f>_xlfn.RANK.EQ(TabDH[[#This Row],[:19]],TabDH[[:1]:[:19]],0)</f>
        <v>96</v>
      </c>
      <c r="DV9" s="53" t="str">
        <f>IF(TabDH[[#This Row],[R1]]&lt;=Sitze_Ausschuss,IF(TabDH[[#This Row],[R1]]+COUNTIF(TabDH[[R1]:[R19]],TabDH[[#This Row],[R1]])-1&lt;=Sitze_Ausschuss,"SITZ","PATT"),"")</f>
        <v>SITZ</v>
      </c>
      <c r="DW9" s="54" t="str">
        <f>IF(TabDH[[#This Row],[R2]]&lt;=Sitze_Ausschuss,IF(TabDH[[#This Row],[R2]]+COUNTIF(TabDH[[R1]:[R19]],TabDH[[#This Row],[R2]])-1&lt;=Sitze_Ausschuss,"SITZ","PATT"),"")</f>
        <v>SITZ</v>
      </c>
      <c r="DX9" s="54" t="str">
        <f>IF(TabDH[[#This Row],[R3]]&lt;=Sitze_Ausschuss,IF(TabDH[[#This Row],[R3]]+COUNTIF(TabDH[[R1]:[R19]],TabDH[[#This Row],[R3]])-1&lt;=Sitze_Ausschuss,"SITZ","PATT"),"")</f>
        <v/>
      </c>
      <c r="DY9" s="54" t="str">
        <f>IF(TabDH[[#This Row],[R4]]&lt;=Sitze_Ausschuss,IF(TabDH[[#This Row],[R4]]+COUNTIF(TabDH[[R1]:[R19]],TabDH[[#This Row],[R4]])-1&lt;=Sitze_Ausschuss,"SITZ","PATT"),"")</f>
        <v/>
      </c>
      <c r="DZ9" s="54" t="str">
        <f>IF(TabDH[[#This Row],[R5]]&lt;=Sitze_Ausschuss,IF(TabDH[[#This Row],[R5]]+COUNTIF(TabDH[[R1]:[R19]],TabDH[[#This Row],[R5]])-1&lt;=Sitze_Ausschuss,"SITZ","PATT"),"")</f>
        <v/>
      </c>
      <c r="EA9" s="54" t="str">
        <f>IF(TabDH[[#This Row],[R6]]&lt;=Sitze_Ausschuss,IF(TabDH[[#This Row],[R6]]+COUNTIF(TabDH[[R1]:[R19]],TabDH[[#This Row],[R6]])-1&lt;=Sitze_Ausschuss,"SITZ","PATT"),"")</f>
        <v/>
      </c>
      <c r="EB9" s="54" t="str">
        <f>IF(TabDH[[#This Row],[R7]]&lt;=Sitze_Ausschuss,IF(TabDH[[#This Row],[R7]]+COUNTIF(TabDH[[R1]:[R19]],TabDH[[#This Row],[R7]])-1&lt;=Sitze_Ausschuss,"SITZ","PATT"),"")</f>
        <v/>
      </c>
      <c r="EC9" s="54" t="str">
        <f>IF(TabDH[[#This Row],[R8]]&lt;=Sitze_Ausschuss,IF(TabDH[[#This Row],[R8]]+COUNTIF(TabDH[[R1]:[R19]],TabDH[[#This Row],[R8]])-1&lt;=Sitze_Ausschuss,"SITZ","PATT"),"")</f>
        <v/>
      </c>
      <c r="ED9" s="54" t="str">
        <f>IF(TabDH[[#This Row],[R9]]&lt;=Sitze_Ausschuss,IF(TabDH[[#This Row],[R9]]+COUNTIF(TabDH[[R1]:[R19]],TabDH[[#This Row],[R9]])-1&lt;=Sitze_Ausschuss,"SITZ","PATT"),"")</f>
        <v/>
      </c>
      <c r="EE9" s="54" t="str">
        <f>IF(TabDH[[#This Row],[R10]]&lt;=Sitze_Ausschuss,IF(TabDH[[#This Row],[R10]]+COUNTIF(TabDH[[R1]:[R19]],TabDH[[#This Row],[R10]])-1&lt;=Sitze_Ausschuss,"SITZ","PATT"),"")</f>
        <v/>
      </c>
      <c r="EF9" s="54" t="str">
        <f>IF(TabDH[[#This Row],[R11]]&lt;=Sitze_Ausschuss,IF(TabDH[[#This Row],[R11]]+COUNTIF(TabDH[[R1]:[R19]],TabDH[[#This Row],[R11]])-1&lt;=Sitze_Ausschuss,"SITZ","PATT"),"")</f>
        <v/>
      </c>
      <c r="EG9" s="54" t="str">
        <f>IF(TabDH[[#This Row],[R12]]&lt;=Sitze_Ausschuss,IF(TabDH[[#This Row],[R12]]+COUNTIF(TabDH[[R1]:[R19]],TabDH[[#This Row],[R12]])-1&lt;=Sitze_Ausschuss,"SITZ","PATT"),"")</f>
        <v/>
      </c>
      <c r="EH9" s="54" t="str">
        <f>IF(TabDH[[#This Row],[R13]]&lt;=Sitze_Ausschuss,IF(TabDH[[#This Row],[R13]]+COUNTIF(TabDH[[R1]:[R19]],TabDH[[#This Row],[R13]])-1&lt;=Sitze_Ausschuss,"SITZ","PATT"),"")</f>
        <v/>
      </c>
      <c r="EI9" s="54" t="str">
        <f>IF(TabDH[[#This Row],[R14]]&lt;=Sitze_Ausschuss,IF(TabDH[[#This Row],[R14]]+COUNTIF(TabDH[[R1]:[R19]],TabDH[[#This Row],[R14]])-1&lt;=Sitze_Ausschuss,"SITZ","PATT"),"")</f>
        <v/>
      </c>
      <c r="EJ9" s="54" t="str">
        <f>IF(TabDH[[#This Row],[R15]]&lt;=Sitze_Ausschuss,IF(TabDH[[#This Row],[R15]]+COUNTIF(TabDH[[R1]:[R19]],TabDH[[#This Row],[R15]])-1&lt;=Sitze_Ausschuss,"SITZ","PATT"),"")</f>
        <v/>
      </c>
      <c r="EK9" s="54" t="str">
        <f>IF(TabDH[[#This Row],[R16]]&lt;=Sitze_Ausschuss,IF(TabDH[[#This Row],[R16]]+COUNTIF(TabDH[[R1]:[R19]],TabDH[[#This Row],[R16]])-1&lt;=Sitze_Ausschuss,"SITZ","PATT"),"")</f>
        <v/>
      </c>
      <c r="EL9" s="54" t="str">
        <f>IF(TabDH[[#This Row],[R17]]&lt;=Sitze_Ausschuss,IF(TabDH[[#This Row],[R17]]+COUNTIF(TabDH[[R1]:[R19]],TabDH[[#This Row],[R17]])-1&lt;=Sitze_Ausschuss,"SITZ","PATT"),"")</f>
        <v/>
      </c>
      <c r="EM9" s="54" t="str">
        <f>IF(TabDH[[#This Row],[R18]]&lt;=Sitze_Ausschuss,IF(TabDH[[#This Row],[R18]]+COUNTIF(TabDH[[R1]:[R19]],TabDH[[#This Row],[R18]])-1&lt;=Sitze_Ausschuss,"SITZ","PATT"),"")</f>
        <v/>
      </c>
      <c r="EN9" s="54" t="str">
        <f>IF(TabDH[[#This Row],[R19]]&lt;=Sitze_Ausschuss,IF(TabDH[[#This Row],[R19]]+COUNTIF(TabDH[[R1]:[R19]],TabDH[[#This Row],[R19]])-1&lt;=Sitze_Ausschuss,"SITZ","PATT"),"")</f>
        <v/>
      </c>
      <c r="EO9" s="56" t="b">
        <f>COUNTIF(TabDH[[#This Row],[SP1]:[SP19]],"PATT")&gt;0</f>
        <v>0</v>
      </c>
      <c r="EP9" s="42">
        <f>IF(TabDH[[#This Row],[Patt]],(Sitze_Ausschuss-SUM(TabDH[Sitze]))/TabDH[[#Totals],[Patt]],0)</f>
        <v>0</v>
      </c>
      <c r="EQ9" s="57">
        <f>TabDH[[#This Row],[Patt]]*IF(Pattaufloesung="Stimmen",TabPatt[[#This Row],[Stimmen]],TabPatt[[#This Row],[Loserfolg]])*1</f>
        <v>0</v>
      </c>
      <c r="ER9" s="58" t="b">
        <f>_xlfn.RANK.EQ(TabDH[[#This Row],[Stimmen/Gelost]],TabDH[Stimmen/Gelost],0)&lt;=(Sitze_Ausschuss-SUM(TabDH[Sitze]))</f>
        <v>1</v>
      </c>
      <c r="ES9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9" s="3"/>
      <c r="EU9" s="60" t="str">
        <f>Grunddaten[[#This Row],[Partei/Wählergruppe]]&amp;""</f>
        <v>FREIE WÄHLER</v>
      </c>
      <c r="EV9" s="85">
        <v>4321</v>
      </c>
      <c r="EW9" s="66" t="b">
        <v>0</v>
      </c>
      <c r="EX9" s="3"/>
      <c r="EY9" s="3"/>
      <c r="EZ9" s="3"/>
      <c r="FA9" s="3"/>
      <c r="FB9" s="3"/>
    </row>
    <row r="10" spans="1:164" x14ac:dyDescent="0.25">
      <c r="A10" s="3"/>
      <c r="B10" s="67" t="s">
        <v>3</v>
      </c>
      <c r="C10" s="85">
        <v>3</v>
      </c>
      <c r="D10" s="83">
        <f>Grunddaten[[#This Row],[Sitze im Hauptorgan]]/Grunddaten[[#Totals],[Sitze im Hauptorgan]]*Sitze_Ausschuss</f>
        <v>1.375</v>
      </c>
      <c r="E10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1 oder 2</v>
      </c>
      <c r="F10" s="61" t="str">
        <f t="shared" si="0"/>
        <v>OK</v>
      </c>
      <c r="G10" s="62" t="str">
        <f>IF(TabSLS[[#This Row],[QK verletzt]],"NOK","OK")</f>
        <v>OK</v>
      </c>
      <c r="H10" s="63" t="str">
        <f>IF(TabDH[[#This Row],[QK verletzt]],"NOK","OK")</f>
        <v>OK</v>
      </c>
      <c r="I10" s="3"/>
      <c r="J10" s="37">
        <f>TabHN[[#This Row],[S ganz]]+IF(NOT(TabHN[[#This Row],[Patt]]),TabHN[[#This Row],[Restsitz]],0)</f>
        <v>1</v>
      </c>
      <c r="K10" s="38">
        <f>IF(TabHN[[#This Row],[Patt]],IF(Pattaufloesung="Los-Chance",TabHN[[#This Row],[Los Chance]],TabHN[[#This Row],[Pattgewinn]]+0),0)</f>
        <v>0</v>
      </c>
      <c r="L10" s="39">
        <f>INT(Grunddaten[[#This Row],[Proporzgenaue Zahl Ausschuss]])</f>
        <v>1</v>
      </c>
      <c r="M10" s="40">
        <f>ROUND(Grunddaten[[#This Row],[Proporzgenaue Zahl Ausschuss]]-TabHN[[#This Row],[S ganz]],4)</f>
        <v>0.375</v>
      </c>
      <c r="N10" s="41">
        <f>_xlfn.RANK.EQ(TabHN[[#This Row],[S Rest]],TabHN[S Rest],0)</f>
        <v>8</v>
      </c>
      <c r="O10" s="39">
        <f>IF(TabHN[[#This Row],[Rng Rest]]&lt;=TabHN[[#Totals],[S Rest]],1,0)</f>
        <v>0</v>
      </c>
      <c r="P10" s="39" t="b">
        <f>AND(TabHN[[#This Row],[Restsitz]]=1,(COUNTIF(TabHN[Rng Rest],TabHN[[#This Row],[Rng Rest]])+TabHN[[#This Row],[Rng Rest]]-1)&gt;TabHN[[#Totals],[S Rest]])</f>
        <v>0</v>
      </c>
      <c r="Q10" s="42">
        <f>IF(TabHN[[#This Row],[Patt]],(Sitze_Ausschuss-SUM(TabHN[Sitze]))/TabHN[[#Totals],[Patt]],0)</f>
        <v>0</v>
      </c>
      <c r="R10" s="43">
        <f>TabHN[[#This Row],[Patt]]*IF(Pattaufloesung="Stimmen",TabPatt[[#This Row],[Stimmen]],TabPatt[[#This Row],[Loserfolg]])*1</f>
        <v>0</v>
      </c>
      <c r="S10" s="44" t="b">
        <f>_xlfn.RANK.EQ(TabHN[[#This Row],[Stimmen/Gelost]],TabHN[Stimmen/Gelost],0)&lt;=(Sitze_Ausschuss-SUM(TabHN[Sitze]))</f>
        <v>1</v>
      </c>
      <c r="T10" s="3"/>
      <c r="U10" s="45">
        <f>COUNTIF(TabSLS[[#This Row],[SP1]:[SP37]],"SITZ")</f>
        <v>1</v>
      </c>
      <c r="V10" s="46">
        <f>IF(TabSLS[[#This Row],[Patt?]],IF(Pattaufloesung="Los-Chance",TabSLS[[#This Row],[Los Chance]],TabSLS[[#This Row],[Pattgewinn]]+0),0)</f>
        <v>0.33333333333333331</v>
      </c>
      <c r="W10" s="47">
        <f>Grunddaten[[#This Row],[Sitze im Hauptorgan]]/_xlfn.NUMBERVALUE(MID(INDEX(TabSLS[[#Headers],[:1]:[:37]],COLUMN()-COLUMN(TabSLS[[#Headers],[:1]])+1),2,3))</f>
        <v>3</v>
      </c>
      <c r="X10" s="48">
        <f>Grunddaten[[#This Row],[Sitze im Hauptorgan]]/_xlfn.NUMBERVALUE(MID(INDEX(TabSLS[[#Headers],[:1]:[:37]],COLUMN()-COLUMN(TabSLS[[#Headers],[:1]])+1),2,3))</f>
        <v>1</v>
      </c>
      <c r="Y10" s="48">
        <f>Grunddaten[[#This Row],[Sitze im Hauptorgan]]/_xlfn.NUMBERVALUE(MID(INDEX(TabSLS[[#Headers],[:1]:[:37]],COLUMN()-COLUMN(TabSLS[[#Headers],[:1]])+1),2,3))</f>
        <v>0.6</v>
      </c>
      <c r="Z10" s="48">
        <f>Grunddaten[[#This Row],[Sitze im Hauptorgan]]/_xlfn.NUMBERVALUE(MID(INDEX(TabSLS[[#Headers],[:1]:[:37]],COLUMN()-COLUMN(TabSLS[[#Headers],[:1]])+1),2,3))</f>
        <v>0.42857142857142855</v>
      </c>
      <c r="AA10" s="48">
        <f>Grunddaten[[#This Row],[Sitze im Hauptorgan]]/_xlfn.NUMBERVALUE(MID(INDEX(TabSLS[[#Headers],[:1]:[:37]],COLUMN()-COLUMN(TabSLS[[#Headers],[:1]])+1),2,3))</f>
        <v>0.33333333333333331</v>
      </c>
      <c r="AB10" s="48">
        <f>Grunddaten[[#This Row],[Sitze im Hauptorgan]]/_xlfn.NUMBERVALUE(MID(INDEX(TabSLS[[#Headers],[:1]:[:37]],COLUMN()-COLUMN(TabSLS[[#Headers],[:1]])+1),2,3))</f>
        <v>0.27272727272727271</v>
      </c>
      <c r="AC10" s="48">
        <f>Grunddaten[[#This Row],[Sitze im Hauptorgan]]/_xlfn.NUMBERVALUE(MID(INDEX(TabSLS[[#Headers],[:1]:[:37]],COLUMN()-COLUMN(TabSLS[[#Headers],[:1]])+1),2,3))</f>
        <v>0.23076923076923078</v>
      </c>
      <c r="AD10" s="48">
        <f>Grunddaten[[#This Row],[Sitze im Hauptorgan]]/_xlfn.NUMBERVALUE(MID(INDEX(TabSLS[[#Headers],[:1]:[:37]],COLUMN()-COLUMN(TabSLS[[#Headers],[:1]])+1),2,3))</f>
        <v>0.2</v>
      </c>
      <c r="AE10" s="48">
        <f>Grunddaten[[#This Row],[Sitze im Hauptorgan]]/_xlfn.NUMBERVALUE(MID(INDEX(TabSLS[[#Headers],[:1]:[:37]],COLUMN()-COLUMN(TabSLS[[#Headers],[:1]])+1),2,3))</f>
        <v>0.17647058823529413</v>
      </c>
      <c r="AF10" s="48">
        <f>Grunddaten[[#This Row],[Sitze im Hauptorgan]]/_xlfn.NUMBERVALUE(MID(INDEX(TabSLS[[#Headers],[:1]:[:37]],COLUMN()-COLUMN(TabSLS[[#Headers],[:1]])+1),2,3))</f>
        <v>0.15789473684210525</v>
      </c>
      <c r="AG10" s="48">
        <f>Grunddaten[[#This Row],[Sitze im Hauptorgan]]/_xlfn.NUMBERVALUE(MID(INDEX(TabSLS[[#Headers],[:1]:[:37]],COLUMN()-COLUMN(TabSLS[[#Headers],[:1]])+1),2,3))</f>
        <v>0.14285714285714285</v>
      </c>
      <c r="AH10" s="48">
        <f>Grunddaten[[#This Row],[Sitze im Hauptorgan]]/_xlfn.NUMBERVALUE(MID(INDEX(TabSLS[[#Headers],[:1]:[:37]],COLUMN()-COLUMN(TabSLS[[#Headers],[:1]])+1),2,3))</f>
        <v>0.13043478260869565</v>
      </c>
      <c r="AI10" s="48">
        <f>Grunddaten[[#This Row],[Sitze im Hauptorgan]]/_xlfn.NUMBERVALUE(MID(INDEX(TabSLS[[#Headers],[:1]:[:37]],COLUMN()-COLUMN(TabSLS[[#Headers],[:1]])+1),2,3))</f>
        <v>0.12</v>
      </c>
      <c r="AJ10" s="48">
        <f>Grunddaten[[#This Row],[Sitze im Hauptorgan]]/_xlfn.NUMBERVALUE(MID(INDEX(TabSLS[[#Headers],[:1]:[:37]],COLUMN()-COLUMN(TabSLS[[#Headers],[:1]])+1),2,3))</f>
        <v>0.1111111111111111</v>
      </c>
      <c r="AK10" s="48">
        <f>Grunddaten[[#This Row],[Sitze im Hauptorgan]]/_xlfn.NUMBERVALUE(MID(INDEX(TabSLS[[#Headers],[:1]:[:37]],COLUMN()-COLUMN(TabSLS[[#Headers],[:1]])+1),2,3))</f>
        <v>0.10344827586206896</v>
      </c>
      <c r="AL10" s="48">
        <f>Grunddaten[[#This Row],[Sitze im Hauptorgan]]/_xlfn.NUMBERVALUE(MID(INDEX(TabSLS[[#Headers],[:1]:[:37]],COLUMN()-COLUMN(TabSLS[[#Headers],[:1]])+1),2,3))</f>
        <v>9.6774193548387094E-2</v>
      </c>
      <c r="AM10" s="48">
        <f>Grunddaten[[#This Row],[Sitze im Hauptorgan]]/_xlfn.NUMBERVALUE(MID(INDEX(TabSLS[[#Headers],[:1]:[:37]],COLUMN()-COLUMN(TabSLS[[#Headers],[:1]])+1),2,3))</f>
        <v>9.0909090909090912E-2</v>
      </c>
      <c r="AN10" s="48">
        <f>Grunddaten[[#This Row],[Sitze im Hauptorgan]]/_xlfn.NUMBERVALUE(MID(INDEX(TabSLS[[#Headers],[:1]:[:37]],COLUMN()-COLUMN(TabSLS[[#Headers],[:1]])+1),2,3))</f>
        <v>8.5714285714285715E-2</v>
      </c>
      <c r="AO10" s="49">
        <f>Grunddaten[[#This Row],[Sitze im Hauptorgan]]/_xlfn.NUMBERVALUE(MID(INDEX(TabSLS[[#Headers],[:1]:[:37]],COLUMN()-COLUMN(TabSLS[[#Headers],[:1]])+1),2,3))</f>
        <v>8.1081081081081086E-2</v>
      </c>
      <c r="AP10" s="50">
        <f>_xlfn.RANK.EQ(TabSLS[[#This Row],[:1]],TabSLS[[:1]:[:37]],0)</f>
        <v>4</v>
      </c>
      <c r="AQ10" s="51">
        <f>_xlfn.RANK.EQ(TabSLS[[#This Row],[:3]],TabSLS[[:1]:[:37]],0)</f>
        <v>10</v>
      </c>
      <c r="AR10" s="51">
        <f>_xlfn.RANK.EQ(TabSLS[[#This Row],[:5]],TabSLS[[:1]:[:37]],0)</f>
        <v>21</v>
      </c>
      <c r="AS10" s="51">
        <f>_xlfn.RANK.EQ(TabSLS[[#This Row],[:7]],TabSLS[[:1]:[:37]],0)</f>
        <v>28</v>
      </c>
      <c r="AT10" s="51">
        <f>_xlfn.RANK.EQ(TabSLS[[#This Row],[:9]],TabSLS[[:1]:[:37]],0)</f>
        <v>34</v>
      </c>
      <c r="AU10" s="51">
        <f>_xlfn.RANK.EQ(TabSLS[[#This Row],[:11]],TabSLS[[:1]:[:37]],0)</f>
        <v>45</v>
      </c>
      <c r="AV10" s="51">
        <f>_xlfn.RANK.EQ(TabSLS[[#This Row],[:13]],TabSLS[[:1]:[:37]],0)</f>
        <v>52</v>
      </c>
      <c r="AW10" s="51">
        <f>_xlfn.RANK.EQ(TabSLS[[#This Row],[:15]],TabSLS[[:1]:[:37]],0)</f>
        <v>58</v>
      </c>
      <c r="AX10" s="51">
        <f>_xlfn.RANK.EQ(TabSLS[[#This Row],[:17]],TabSLS[[:1]:[:37]],0)</f>
        <v>69</v>
      </c>
      <c r="AY10" s="51">
        <f>_xlfn.RANK.EQ(TabSLS[[#This Row],[:19]],TabSLS[[:1]:[:37]],0)</f>
        <v>76</v>
      </c>
      <c r="AZ10" s="51">
        <f>_xlfn.RANK.EQ(TabSLS[[#This Row],[:21]],TabSLS[[:1]:[:37]],0)</f>
        <v>80</v>
      </c>
      <c r="BA10" s="51">
        <f>_xlfn.RANK.EQ(TabSLS[[#This Row],[:23]],TabSLS[[:1]:[:37]],0)</f>
        <v>89</v>
      </c>
      <c r="BB10" s="51">
        <f>_xlfn.RANK.EQ(TabSLS[[#This Row],[:25]],TabSLS[[:1]:[:37]],0)</f>
        <v>92</v>
      </c>
      <c r="BC10" s="51">
        <f>_xlfn.RANK.EQ(TabSLS[[#This Row],[:27]],TabSLS[[:1]:[:37]],0)</f>
        <v>95</v>
      </c>
      <c r="BD10" s="51">
        <f>_xlfn.RANK.EQ(TabSLS[[#This Row],[:29]],TabSLS[[:1]:[:37]],0)</f>
        <v>102</v>
      </c>
      <c r="BE10" s="51">
        <f>_xlfn.RANK.EQ(TabSLS[[#This Row],[:31]],TabSLS[[:1]:[:37]],0)</f>
        <v>103</v>
      </c>
      <c r="BF10" s="51">
        <f>_xlfn.RANK.EQ(TabSLS[[#This Row],[:33]],TabSLS[[:1]:[:37]],0)</f>
        <v>105</v>
      </c>
      <c r="BG10" s="51">
        <f>_xlfn.RANK.EQ(TabSLS[[#This Row],[:35]],TabSLS[[:1]:[:37]],0)</f>
        <v>111</v>
      </c>
      <c r="BH10" s="52">
        <f>_xlfn.RANK.EQ(TabSLS[[#This Row],[:37]],TabSLS[[:1]:[:37]],0)</f>
        <v>112</v>
      </c>
      <c r="BI10" s="53" t="str">
        <f>IF(TabSLS[[#This Row],[R1]]&lt;=Sitze_Ausschuss,IF(TabSLS[[#This Row],[R1]]+COUNTIF(TabSLS[[R1]:[R37]],TabSLS[[#This Row],[R1]])-1&lt;=Sitze_Ausschuss,"SITZ","PATT"),"")</f>
        <v>SITZ</v>
      </c>
      <c r="BJ10" s="54" t="str">
        <f>IF(TabSLS[[#This Row],[R3]]&lt;=Sitze_Ausschuss,IF(TabSLS[[#This Row],[R3]]+COUNTIF(TabSLS[[R1]:[R37]],TabSLS[[#This Row],[R3]])-1&lt;=Sitze_Ausschuss,"SITZ","PATT"),"")</f>
        <v>PATT</v>
      </c>
      <c r="BK10" s="54" t="str">
        <f>IF(TabSLS[[#This Row],[R5]]&lt;=Sitze_Ausschuss,IF(TabSLS[[#This Row],[R5]]+COUNTIF(TabSLS[[R1]:[R37]],TabSLS[[#This Row],[R5]])-1&lt;=Sitze_Ausschuss,"SITZ","PATT"),"")</f>
        <v/>
      </c>
      <c r="BL10" s="54" t="str">
        <f>IF(TabSLS[[#This Row],[R7]]&lt;=Sitze_Ausschuss,IF(TabSLS[[#This Row],[R7]]+COUNTIF(TabSLS[[R1]:[R37]],TabSLS[[#This Row],[R7]])-1&lt;=Sitze_Ausschuss,"SITZ","PATT"),"")</f>
        <v/>
      </c>
      <c r="BM10" s="54" t="str">
        <f>IF(TabSLS[[#This Row],[R9]]&lt;=Sitze_Ausschuss,IF(TabSLS[[#This Row],[R9]]+COUNTIF(TabSLS[[R1]:[R37]],TabSLS[[#This Row],[R9]])-1&lt;=Sitze_Ausschuss,"SITZ","PATT"),"")</f>
        <v/>
      </c>
      <c r="BN10" s="54" t="str">
        <f>IF(TabSLS[[#This Row],[R11]]&lt;=Sitze_Ausschuss,IF(TabSLS[[#This Row],[R11]]+COUNTIF(TabSLS[[R1]:[R37]],TabSLS[[#This Row],[R11]])-1&lt;=Sitze_Ausschuss,"SITZ","PATT"),"")</f>
        <v/>
      </c>
      <c r="BO10" s="54" t="str">
        <f>IF(TabSLS[[#This Row],[R13]]&lt;=Sitze_Ausschuss,IF(TabSLS[[#This Row],[R13]]+COUNTIF(TabSLS[[R1]:[R37]],TabSLS[[#This Row],[R13]])-1&lt;=Sitze_Ausschuss,"SITZ","PATT"),"")</f>
        <v/>
      </c>
      <c r="BP10" s="54" t="str">
        <f>IF(TabSLS[[#This Row],[R15]]&lt;=Sitze_Ausschuss,IF(TabSLS[[#This Row],[R15]]+COUNTIF(TabSLS[[R1]:[R37]],TabSLS[[#This Row],[R15]])-1&lt;=Sitze_Ausschuss,"SITZ","PATT"),"")</f>
        <v/>
      </c>
      <c r="BQ10" s="54" t="str">
        <f>IF(TabSLS[[#This Row],[R17]]&lt;=Sitze_Ausschuss,IF(TabSLS[[#This Row],[R17]]+COUNTIF(TabSLS[[R1]:[R37]],TabSLS[[#This Row],[R17]])-1&lt;=Sitze_Ausschuss,"SITZ","PATT"),"")</f>
        <v/>
      </c>
      <c r="BR10" s="54" t="str">
        <f>IF(TabSLS[[#This Row],[R19]]&lt;=Sitze_Ausschuss,IF(TabSLS[[#This Row],[R19]]+COUNTIF(TabSLS[[R1]:[R37]],TabSLS[[#This Row],[R19]])-1&lt;=Sitze_Ausschuss,"SITZ","PATT"),"")</f>
        <v/>
      </c>
      <c r="BS10" s="54" t="str">
        <f>IF(TabSLS[[#This Row],[R21]]&lt;=Sitze_Ausschuss,IF(TabSLS[[#This Row],[R21]]+COUNTIF(TabSLS[[R1]:[R37]],TabSLS[[#This Row],[R21]])-1&lt;=Sitze_Ausschuss,"SITZ","PATT"),"")</f>
        <v/>
      </c>
      <c r="BT10" s="54" t="str">
        <f>IF(TabSLS[[#This Row],[R23]]&lt;=Sitze_Ausschuss,IF(TabSLS[[#This Row],[R23]]+COUNTIF(TabSLS[[R1]:[R37]],TabSLS[[#This Row],[R23]])-1&lt;=Sitze_Ausschuss,"SITZ","PATT"),"")</f>
        <v/>
      </c>
      <c r="BU10" s="54" t="str">
        <f>IF(TabSLS[[#This Row],[R25]]&lt;=Sitze_Ausschuss,IF(TabSLS[[#This Row],[R25]]+COUNTIF(TabSLS[[R1]:[R37]],TabSLS[[#This Row],[R25]])-1&lt;=Sitze_Ausschuss,"SITZ","PATT"),"")</f>
        <v/>
      </c>
      <c r="BV10" s="54" t="str">
        <f>IF(TabSLS[[#This Row],[R27]]&lt;=Sitze_Ausschuss,IF(TabSLS[[#This Row],[R27]]+COUNTIF(TabSLS[[R1]:[R37]],TabSLS[[#This Row],[R27]])-1&lt;=Sitze_Ausschuss,"SITZ","PATT"),"")</f>
        <v/>
      </c>
      <c r="BW10" s="54" t="str">
        <f>IF(TabSLS[[#This Row],[R29]]&lt;=Sitze_Ausschuss,IF(TabSLS[[#This Row],[R29]]+COUNTIF(TabSLS[[R1]:[R37]],TabSLS[[#This Row],[R29]])-1&lt;=Sitze_Ausschuss,"SITZ","PATT"),"")</f>
        <v/>
      </c>
      <c r="BX10" s="54" t="str">
        <f>IF(TabSLS[[#This Row],[R31]]&lt;=Sitze_Ausschuss,IF(TabSLS[[#This Row],[R31]]+COUNTIF(TabSLS[[R1]:[R37]],TabSLS[[#This Row],[R31]])-1&lt;=Sitze_Ausschuss,"SITZ","PATT"),"")</f>
        <v/>
      </c>
      <c r="BY10" s="54" t="str">
        <f>IF(TabSLS[[#This Row],[R33]]&lt;=Sitze_Ausschuss,IF(TabSLS[[#This Row],[R33]]+COUNTIF(TabSLS[[R1]:[R37]],TabSLS[[#This Row],[R33]])-1&lt;=Sitze_Ausschuss,"SITZ","PATT"),"")</f>
        <v/>
      </c>
      <c r="BZ10" s="54" t="str">
        <f>IF(TabSLS[[#This Row],[R35]]&lt;=Sitze_Ausschuss,IF(TabSLS[[#This Row],[R35]]+COUNTIF(TabSLS[[R1]:[R37]],TabSLS[[#This Row],[R35]])-1&lt;=Sitze_Ausschuss,"SITZ","PATT"),"")</f>
        <v/>
      </c>
      <c r="CA10" s="55" t="str">
        <f>IF(TabSLS[[#This Row],[R37]]&lt;=Sitze_Ausschuss,IF(TabSLS[[#This Row],[R37]]+COUNTIF(TabSLS[[R1]:[R37]],TabSLS[[#This Row],[R37]])-1&lt;=Sitze_Ausschuss,"SITZ","PATT"),"")</f>
        <v/>
      </c>
      <c r="CB10" s="56" t="b">
        <f>COUNTIF(TabSLS[[#This Row],[SP1]:[SP37]],"PATT")&gt;0</f>
        <v>1</v>
      </c>
      <c r="CC10" s="42">
        <f>IF(TabSLS[[#This Row],[Patt?]],(Sitze_Ausschuss-SUM(TabSLS[Sitze]))/TabSLS[[#Totals],[Patt?]],0)</f>
        <v>0.33333333333333331</v>
      </c>
      <c r="CD10" s="57">
        <f>TabSLS[[#This Row],[Patt?]]*IF(Pattaufloesung="Stimmen",TabPatt[[#This Row],[Stimmen]],TabPatt[[#This Row],[Loserfolg]])*1</f>
        <v>0</v>
      </c>
      <c r="CE10" s="58" t="b">
        <f>_xlfn.RANK.EQ(TabSLS[[#This Row],[Stimmen Gelost]],TabSLS[Stimmen Gelost],0)&lt;=(Sitze_Ausschuss-SUM(TabSLS[Sitze]))</f>
        <v>1</v>
      </c>
      <c r="CF10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0" s="3"/>
      <c r="CH10" s="45">
        <f>COUNTIF(TabDH[[#This Row],[SP1]:[SP19]],"SITZ")</f>
        <v>1</v>
      </c>
      <c r="CI10" s="46">
        <f>IF(TabDH[[#This Row],[Patt]],IF(Pattaufloesung="Los-Chance",TabDH[[#This Row],[Los Chance]],TabDH[[#This Row],[Pattgewinn]]+0),0)</f>
        <v>0.5</v>
      </c>
      <c r="CJ10" s="47">
        <f>Grunddaten[[#This Row],[Sitze im Hauptorgan]]/_xlfn.NUMBERVALUE(MID(INDEX(TabDH[[#Headers],[:1]:[:19]],COLUMN()-COLUMN(TabDH[[#Headers],[:1]])+1),2,3))</f>
        <v>3</v>
      </c>
      <c r="CK10" s="48">
        <f>Grunddaten[[#This Row],[Sitze im Hauptorgan]]/_xlfn.NUMBERVALUE(MID(INDEX(TabDH[[#Headers],[:1]:[:19]],COLUMN()-COLUMN(TabDH[[#Headers],[:1]])+1),2,3))</f>
        <v>1.5</v>
      </c>
      <c r="CL10" s="48">
        <f>Grunddaten[[#This Row],[Sitze im Hauptorgan]]/_xlfn.NUMBERVALUE(MID(INDEX(TabDH[[#Headers],[:1]:[:19]],COLUMN()-COLUMN(TabDH[[#Headers],[:1]])+1),2,3))</f>
        <v>1</v>
      </c>
      <c r="CM10" s="48">
        <f>Grunddaten[[#This Row],[Sitze im Hauptorgan]]/_xlfn.NUMBERVALUE(MID(INDEX(TabDH[[#Headers],[:1]:[:19]],COLUMN()-COLUMN(TabDH[[#Headers],[:1]])+1),2,3))</f>
        <v>0.75</v>
      </c>
      <c r="CN10" s="48">
        <f>Grunddaten[[#This Row],[Sitze im Hauptorgan]]/_xlfn.NUMBERVALUE(MID(INDEX(TabDH[[#Headers],[:1]:[:19]],COLUMN()-COLUMN(TabDH[[#Headers],[:1]])+1),2,3))</f>
        <v>0.6</v>
      </c>
      <c r="CO10" s="48">
        <f>Grunddaten[[#This Row],[Sitze im Hauptorgan]]/_xlfn.NUMBERVALUE(MID(INDEX(TabDH[[#Headers],[:1]:[:19]],COLUMN()-COLUMN(TabDH[[#Headers],[:1]])+1),2,3))</f>
        <v>0.5</v>
      </c>
      <c r="CP10" s="48">
        <f>Grunddaten[[#This Row],[Sitze im Hauptorgan]]/_xlfn.NUMBERVALUE(MID(INDEX(TabDH[[#Headers],[:1]:[:19]],COLUMN()-COLUMN(TabDH[[#Headers],[:1]])+1),2,3))</f>
        <v>0.42857142857142855</v>
      </c>
      <c r="CQ10" s="48">
        <f>Grunddaten[[#This Row],[Sitze im Hauptorgan]]/_xlfn.NUMBERVALUE(MID(INDEX(TabDH[[#Headers],[:1]:[:19]],COLUMN()-COLUMN(TabDH[[#Headers],[:1]])+1),2,3))</f>
        <v>0.375</v>
      </c>
      <c r="CR10" s="48">
        <f>Grunddaten[[#This Row],[Sitze im Hauptorgan]]/_xlfn.NUMBERVALUE(MID(INDEX(TabDH[[#Headers],[:1]:[:19]],COLUMN()-COLUMN(TabDH[[#Headers],[:1]])+1),2,3))</f>
        <v>0.33333333333333331</v>
      </c>
      <c r="CS10" s="48">
        <f>Grunddaten[[#This Row],[Sitze im Hauptorgan]]/_xlfn.NUMBERVALUE(MID(INDEX(TabDH[[#Headers],[:1]:[:19]],COLUMN()-COLUMN(TabDH[[#Headers],[:1]])+1),2,3))</f>
        <v>0.3</v>
      </c>
      <c r="CT10" s="48">
        <f>Grunddaten[[#This Row],[Sitze im Hauptorgan]]/_xlfn.NUMBERVALUE(MID(INDEX(TabDH[[#Headers],[:1]:[:19]],COLUMN()-COLUMN(TabDH[[#Headers],[:1]])+1),2,3))</f>
        <v>0.27272727272727271</v>
      </c>
      <c r="CU10" s="48">
        <f>Grunddaten[[#This Row],[Sitze im Hauptorgan]]/_xlfn.NUMBERVALUE(MID(INDEX(TabDH[[#Headers],[:1]:[:19]],COLUMN()-COLUMN(TabDH[[#Headers],[:1]])+1),2,3))</f>
        <v>0.25</v>
      </c>
      <c r="CV10" s="48">
        <f>Grunddaten[[#This Row],[Sitze im Hauptorgan]]/_xlfn.NUMBERVALUE(MID(INDEX(TabDH[[#Headers],[:1]:[:19]],COLUMN()-COLUMN(TabDH[[#Headers],[:1]])+1),2,3))</f>
        <v>0.23076923076923078</v>
      </c>
      <c r="CW10" s="48">
        <f>Grunddaten[[#This Row],[Sitze im Hauptorgan]]/_xlfn.NUMBERVALUE(MID(INDEX(TabDH[[#Headers],[:1]:[:19]],COLUMN()-COLUMN(TabDH[[#Headers],[:1]])+1),2,3))</f>
        <v>0.21428571428571427</v>
      </c>
      <c r="CX10" s="48">
        <f>Grunddaten[[#This Row],[Sitze im Hauptorgan]]/_xlfn.NUMBERVALUE(MID(INDEX(TabDH[[#Headers],[:1]:[:19]],COLUMN()-COLUMN(TabDH[[#Headers],[:1]])+1),2,3))</f>
        <v>0.2</v>
      </c>
      <c r="CY10" s="48">
        <f>Grunddaten[[#This Row],[Sitze im Hauptorgan]]/_xlfn.NUMBERVALUE(MID(INDEX(TabDH[[#Headers],[:1]:[:19]],COLUMN()-COLUMN(TabDH[[#Headers],[:1]])+1),2,3))</f>
        <v>0.1875</v>
      </c>
      <c r="CZ10" s="48">
        <f>Grunddaten[[#This Row],[Sitze im Hauptorgan]]/_xlfn.NUMBERVALUE(MID(INDEX(TabDH[[#Headers],[:1]:[:19]],COLUMN()-COLUMN(TabDH[[#Headers],[:1]])+1),2,3))</f>
        <v>0.17647058823529413</v>
      </c>
      <c r="DA10" s="48">
        <f>Grunddaten[[#This Row],[Sitze im Hauptorgan]]/_xlfn.NUMBERVALUE(MID(INDEX(TabDH[[#Headers],[:1]:[:19]],COLUMN()-COLUMN(TabDH[[#Headers],[:1]])+1),2,3))</f>
        <v>0.16666666666666666</v>
      </c>
      <c r="DB10" s="49">
        <f>Grunddaten[[#This Row],[Sitze im Hauptorgan]]/_xlfn.NUMBERVALUE(MID(INDEX(TabDH[[#Headers],[:1]:[:19]],COLUMN()-COLUMN(TabDH[[#Headers],[:1]])+1),2,3))</f>
        <v>0.15789473684210525</v>
      </c>
      <c r="DC10" s="50">
        <f>_xlfn.RANK.EQ(TabDH[[#This Row],[:1]],TabDH[[:1]:[:19]],0)</f>
        <v>4</v>
      </c>
      <c r="DD10" s="51">
        <f>_xlfn.RANK.EQ(TabDH[[#This Row],[:2]],TabDH[[:1]:[:19]],0)</f>
        <v>11</v>
      </c>
      <c r="DE10" s="51">
        <f>_xlfn.RANK.EQ(TabDH[[#This Row],[:3]],TabDH[[:1]:[:19]],0)</f>
        <v>16</v>
      </c>
      <c r="DF10" s="51">
        <f>_xlfn.RANK.EQ(TabDH[[#This Row],[:4]],TabDH[[:1]:[:19]],0)</f>
        <v>28</v>
      </c>
      <c r="DG10" s="51">
        <f>_xlfn.RANK.EQ(TabDH[[#This Row],[:5]],TabDH[[:1]:[:19]],0)</f>
        <v>35</v>
      </c>
      <c r="DH10" s="51">
        <f>_xlfn.RANK.EQ(TabDH[[#This Row],[:6]],TabDH[[:1]:[:19]],0)</f>
        <v>40</v>
      </c>
      <c r="DI10" s="51">
        <f>_xlfn.RANK.EQ(TabDH[[#This Row],[:7]],TabDH[[:1]:[:19]],0)</f>
        <v>52</v>
      </c>
      <c r="DJ10" s="51">
        <f>_xlfn.RANK.EQ(TabDH[[#This Row],[:8]],TabDH[[:1]:[:19]],0)</f>
        <v>59</v>
      </c>
      <c r="DK10" s="51">
        <f>_xlfn.RANK.EQ(TabDH[[#This Row],[:9]],TabDH[[:1]:[:19]],0)</f>
        <v>64</v>
      </c>
      <c r="DL10" s="51">
        <f>_xlfn.RANK.EQ(TabDH[[#This Row],[:10]],TabDH[[:1]:[:19]],0)</f>
        <v>76</v>
      </c>
      <c r="DM10" s="51">
        <f>_xlfn.RANK.EQ(TabDH[[#This Row],[:11]],TabDH[[:1]:[:19]],0)</f>
        <v>81</v>
      </c>
      <c r="DN10" s="51">
        <f>_xlfn.RANK.EQ(TabDH[[#This Row],[:12]],TabDH[[:1]:[:19]],0)</f>
        <v>84</v>
      </c>
      <c r="DO10" s="51">
        <f>_xlfn.RANK.EQ(TabDH[[#This Row],[:13]],TabDH[[:1]:[:19]],0)</f>
        <v>92</v>
      </c>
      <c r="DP10" s="51">
        <f>_xlfn.RANK.EQ(TabDH[[#This Row],[:14]],TabDH[[:1]:[:19]],0)</f>
        <v>95</v>
      </c>
      <c r="DQ10" s="51">
        <f>_xlfn.RANK.EQ(TabDH[[#This Row],[:15]],TabDH[[:1]:[:19]],0)</f>
        <v>97</v>
      </c>
      <c r="DR10" s="51">
        <f>_xlfn.RANK.EQ(TabDH[[#This Row],[:16]],TabDH[[:1]:[:19]],0)</f>
        <v>103</v>
      </c>
      <c r="DS10" s="51">
        <f>_xlfn.RANK.EQ(TabDH[[#This Row],[:17]],TabDH[[:1]:[:19]],0)</f>
        <v>105</v>
      </c>
      <c r="DT10" s="51">
        <f>_xlfn.RANK.EQ(TabDH[[#This Row],[:18]],TabDH[[:1]:[:19]],0)</f>
        <v>106</v>
      </c>
      <c r="DU10" s="52">
        <f>_xlfn.RANK.EQ(TabDH[[#This Row],[:19]],TabDH[[:1]:[:19]],0)</f>
        <v>112</v>
      </c>
      <c r="DV10" s="53" t="str">
        <f>IF(TabDH[[#This Row],[R1]]&lt;=Sitze_Ausschuss,IF(TabDH[[#This Row],[R1]]+COUNTIF(TabDH[[R1]:[R19]],TabDH[[#This Row],[R1]])-1&lt;=Sitze_Ausschuss,"SITZ","PATT"),"")</f>
        <v>SITZ</v>
      </c>
      <c r="DW10" s="54" t="str">
        <f>IF(TabDH[[#This Row],[R2]]&lt;=Sitze_Ausschuss,IF(TabDH[[#This Row],[R2]]+COUNTIF(TabDH[[R1]:[R19]],TabDH[[#This Row],[R2]])-1&lt;=Sitze_Ausschuss,"SITZ","PATT"),"")</f>
        <v>PATT</v>
      </c>
      <c r="DX10" s="54" t="str">
        <f>IF(TabDH[[#This Row],[R3]]&lt;=Sitze_Ausschuss,IF(TabDH[[#This Row],[R3]]+COUNTIF(TabDH[[R1]:[R19]],TabDH[[#This Row],[R3]])-1&lt;=Sitze_Ausschuss,"SITZ","PATT"),"")</f>
        <v/>
      </c>
      <c r="DY10" s="54" t="str">
        <f>IF(TabDH[[#This Row],[R4]]&lt;=Sitze_Ausschuss,IF(TabDH[[#This Row],[R4]]+COUNTIF(TabDH[[R1]:[R19]],TabDH[[#This Row],[R4]])-1&lt;=Sitze_Ausschuss,"SITZ","PATT"),"")</f>
        <v/>
      </c>
      <c r="DZ10" s="54" t="str">
        <f>IF(TabDH[[#This Row],[R5]]&lt;=Sitze_Ausschuss,IF(TabDH[[#This Row],[R5]]+COUNTIF(TabDH[[R1]:[R19]],TabDH[[#This Row],[R5]])-1&lt;=Sitze_Ausschuss,"SITZ","PATT"),"")</f>
        <v/>
      </c>
      <c r="EA10" s="54" t="str">
        <f>IF(TabDH[[#This Row],[R6]]&lt;=Sitze_Ausschuss,IF(TabDH[[#This Row],[R6]]+COUNTIF(TabDH[[R1]:[R19]],TabDH[[#This Row],[R6]])-1&lt;=Sitze_Ausschuss,"SITZ","PATT"),"")</f>
        <v/>
      </c>
      <c r="EB10" s="54" t="str">
        <f>IF(TabDH[[#This Row],[R7]]&lt;=Sitze_Ausschuss,IF(TabDH[[#This Row],[R7]]+COUNTIF(TabDH[[R1]:[R19]],TabDH[[#This Row],[R7]])-1&lt;=Sitze_Ausschuss,"SITZ","PATT"),"")</f>
        <v/>
      </c>
      <c r="EC10" s="54" t="str">
        <f>IF(TabDH[[#This Row],[R8]]&lt;=Sitze_Ausschuss,IF(TabDH[[#This Row],[R8]]+COUNTIF(TabDH[[R1]:[R19]],TabDH[[#This Row],[R8]])-1&lt;=Sitze_Ausschuss,"SITZ","PATT"),"")</f>
        <v/>
      </c>
      <c r="ED10" s="54" t="str">
        <f>IF(TabDH[[#This Row],[R9]]&lt;=Sitze_Ausschuss,IF(TabDH[[#This Row],[R9]]+COUNTIF(TabDH[[R1]:[R19]],TabDH[[#This Row],[R9]])-1&lt;=Sitze_Ausschuss,"SITZ","PATT"),"")</f>
        <v/>
      </c>
      <c r="EE10" s="54" t="str">
        <f>IF(TabDH[[#This Row],[R10]]&lt;=Sitze_Ausschuss,IF(TabDH[[#This Row],[R10]]+COUNTIF(TabDH[[R1]:[R19]],TabDH[[#This Row],[R10]])-1&lt;=Sitze_Ausschuss,"SITZ","PATT"),"")</f>
        <v/>
      </c>
      <c r="EF10" s="54" t="str">
        <f>IF(TabDH[[#This Row],[R11]]&lt;=Sitze_Ausschuss,IF(TabDH[[#This Row],[R11]]+COUNTIF(TabDH[[R1]:[R19]],TabDH[[#This Row],[R11]])-1&lt;=Sitze_Ausschuss,"SITZ","PATT"),"")</f>
        <v/>
      </c>
      <c r="EG10" s="54" t="str">
        <f>IF(TabDH[[#This Row],[R12]]&lt;=Sitze_Ausschuss,IF(TabDH[[#This Row],[R12]]+COUNTIF(TabDH[[R1]:[R19]],TabDH[[#This Row],[R12]])-1&lt;=Sitze_Ausschuss,"SITZ","PATT"),"")</f>
        <v/>
      </c>
      <c r="EH10" s="54" t="str">
        <f>IF(TabDH[[#This Row],[R13]]&lt;=Sitze_Ausschuss,IF(TabDH[[#This Row],[R13]]+COUNTIF(TabDH[[R1]:[R19]],TabDH[[#This Row],[R13]])-1&lt;=Sitze_Ausschuss,"SITZ","PATT"),"")</f>
        <v/>
      </c>
      <c r="EI10" s="54" t="str">
        <f>IF(TabDH[[#This Row],[R14]]&lt;=Sitze_Ausschuss,IF(TabDH[[#This Row],[R14]]+COUNTIF(TabDH[[R1]:[R19]],TabDH[[#This Row],[R14]])-1&lt;=Sitze_Ausschuss,"SITZ","PATT"),"")</f>
        <v/>
      </c>
      <c r="EJ10" s="54" t="str">
        <f>IF(TabDH[[#This Row],[R15]]&lt;=Sitze_Ausschuss,IF(TabDH[[#This Row],[R15]]+COUNTIF(TabDH[[R1]:[R19]],TabDH[[#This Row],[R15]])-1&lt;=Sitze_Ausschuss,"SITZ","PATT"),"")</f>
        <v/>
      </c>
      <c r="EK10" s="54" t="str">
        <f>IF(TabDH[[#This Row],[R16]]&lt;=Sitze_Ausschuss,IF(TabDH[[#This Row],[R16]]+COUNTIF(TabDH[[R1]:[R19]],TabDH[[#This Row],[R16]])-1&lt;=Sitze_Ausschuss,"SITZ","PATT"),"")</f>
        <v/>
      </c>
      <c r="EL10" s="54" t="str">
        <f>IF(TabDH[[#This Row],[R17]]&lt;=Sitze_Ausschuss,IF(TabDH[[#This Row],[R17]]+COUNTIF(TabDH[[R1]:[R19]],TabDH[[#This Row],[R17]])-1&lt;=Sitze_Ausschuss,"SITZ","PATT"),"")</f>
        <v/>
      </c>
      <c r="EM10" s="54" t="str">
        <f>IF(TabDH[[#This Row],[R18]]&lt;=Sitze_Ausschuss,IF(TabDH[[#This Row],[R18]]+COUNTIF(TabDH[[R1]:[R19]],TabDH[[#This Row],[R18]])-1&lt;=Sitze_Ausschuss,"SITZ","PATT"),"")</f>
        <v/>
      </c>
      <c r="EN10" s="54" t="str">
        <f>IF(TabDH[[#This Row],[R19]]&lt;=Sitze_Ausschuss,IF(TabDH[[#This Row],[R19]]+COUNTIF(TabDH[[R1]:[R19]],TabDH[[#This Row],[R19]])-1&lt;=Sitze_Ausschuss,"SITZ","PATT"),"")</f>
        <v/>
      </c>
      <c r="EO10" s="56" t="b">
        <f>COUNTIF(TabDH[[#This Row],[SP1]:[SP19]],"PATT")&gt;0</f>
        <v>1</v>
      </c>
      <c r="EP10" s="42">
        <f>IF(TabDH[[#This Row],[Patt]],(Sitze_Ausschuss-SUM(TabDH[Sitze]))/TabDH[[#Totals],[Patt]],0)</f>
        <v>0.5</v>
      </c>
      <c r="EQ10" s="57">
        <f>TabDH[[#This Row],[Patt]]*IF(Pattaufloesung="Stimmen",TabPatt[[#This Row],[Stimmen]],TabPatt[[#This Row],[Loserfolg]])*1</f>
        <v>0</v>
      </c>
      <c r="ER10" s="58" t="b">
        <f>_xlfn.RANK.EQ(TabDH[[#This Row],[Stimmen/Gelost]],TabDH[Stimmen/Gelost],0)&lt;=(Sitze_Ausschuss-SUM(TabDH[Sitze]))</f>
        <v>1</v>
      </c>
      <c r="ES10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0" s="3"/>
      <c r="EU10" s="60" t="str">
        <f>Grunddaten[[#This Row],[Partei/Wählergruppe]]&amp;""</f>
        <v>AfD</v>
      </c>
      <c r="EV10" s="85">
        <v>3210</v>
      </c>
      <c r="EW10" s="66" t="b">
        <v>0</v>
      </c>
      <c r="EX10" s="3"/>
      <c r="EY10" s="3"/>
      <c r="EZ10" s="3"/>
      <c r="FA10" s="3"/>
      <c r="FB10" s="3"/>
    </row>
    <row r="11" spans="1:164" x14ac:dyDescent="0.25">
      <c r="A11" s="3"/>
      <c r="B11" s="67" t="s">
        <v>4</v>
      </c>
      <c r="C11" s="85">
        <v>2</v>
      </c>
      <c r="D11" s="83">
        <f>Grunddaten[[#This Row],[Sitze im Hauptorgan]]/Grunddaten[[#Totals],[Sitze im Hauptorgan]]*Sitze_Ausschuss</f>
        <v>0.91666666666666663</v>
      </c>
      <c r="E11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 oder 1</v>
      </c>
      <c r="F11" s="61" t="str">
        <f t="shared" si="0"/>
        <v>OK</v>
      </c>
      <c r="G11" s="62" t="str">
        <f>IF(TabSLS[[#This Row],[QK verletzt]],"NOK","OK")</f>
        <v>OK</v>
      </c>
      <c r="H11" s="63" t="str">
        <f>IF(TabDH[[#This Row],[QK verletzt]],"NOK","OK")</f>
        <v>OK</v>
      </c>
      <c r="I11" s="3"/>
      <c r="J11" s="37">
        <f>TabHN[[#This Row],[S ganz]]+IF(NOT(TabHN[[#This Row],[Patt]]),TabHN[[#This Row],[Restsitz]],0)</f>
        <v>1</v>
      </c>
      <c r="K11" s="38">
        <f>IF(TabHN[[#This Row],[Patt]],IF(Pattaufloesung="Los-Chance",TabHN[[#This Row],[Los Chance]],TabHN[[#This Row],[Pattgewinn]]+0),0)</f>
        <v>0</v>
      </c>
      <c r="L11" s="39">
        <f>INT(Grunddaten[[#This Row],[Proporzgenaue Zahl Ausschuss]])</f>
        <v>0</v>
      </c>
      <c r="M11" s="40">
        <f>ROUND(Grunddaten[[#This Row],[Proporzgenaue Zahl Ausschuss]]-TabHN[[#This Row],[S ganz]],4)</f>
        <v>0.91669999999999996</v>
      </c>
      <c r="N11" s="41">
        <f>_xlfn.RANK.EQ(TabHN[[#This Row],[S Rest]],TabHN[S Rest],0)</f>
        <v>1</v>
      </c>
      <c r="O11" s="39">
        <f>IF(TabHN[[#This Row],[Rng Rest]]&lt;=TabHN[[#Totals],[S Rest]],1,0)</f>
        <v>1</v>
      </c>
      <c r="P11" s="39" t="b">
        <f>AND(TabHN[[#This Row],[Restsitz]]=1,(COUNTIF(TabHN[Rng Rest],TabHN[[#This Row],[Rng Rest]])+TabHN[[#This Row],[Rng Rest]]-1)&gt;TabHN[[#Totals],[S Rest]])</f>
        <v>0</v>
      </c>
      <c r="Q11" s="42">
        <f>IF(TabHN[[#This Row],[Patt]],(Sitze_Ausschuss-SUM(TabHN[Sitze]))/TabHN[[#Totals],[Patt]],0)</f>
        <v>0</v>
      </c>
      <c r="R11" s="43">
        <f>TabHN[[#This Row],[Patt]]*IF(Pattaufloesung="Stimmen",TabPatt[[#This Row],[Stimmen]],TabPatt[[#This Row],[Loserfolg]])*1</f>
        <v>0</v>
      </c>
      <c r="S11" s="44" t="b">
        <f>_xlfn.RANK.EQ(TabHN[[#This Row],[Stimmen/Gelost]],TabHN[Stimmen/Gelost],0)&lt;=(Sitze_Ausschuss-SUM(TabHN[Sitze]))</f>
        <v>1</v>
      </c>
      <c r="T11" s="3"/>
      <c r="U11" s="45">
        <f>COUNTIF(TabSLS[[#This Row],[SP1]:[SP37]],"SITZ")</f>
        <v>1</v>
      </c>
      <c r="V11" s="46">
        <f>IF(TabSLS[[#This Row],[Patt?]],IF(Pattaufloesung="Los-Chance",TabSLS[[#This Row],[Los Chance]],TabSLS[[#This Row],[Pattgewinn]]+0),0)</f>
        <v>0</v>
      </c>
      <c r="W11" s="47">
        <f>Grunddaten[[#This Row],[Sitze im Hauptorgan]]/_xlfn.NUMBERVALUE(MID(INDEX(TabSLS[[#Headers],[:1]:[:37]],COLUMN()-COLUMN(TabSLS[[#Headers],[:1]])+1),2,3))</f>
        <v>2</v>
      </c>
      <c r="X11" s="48">
        <f>Grunddaten[[#This Row],[Sitze im Hauptorgan]]/_xlfn.NUMBERVALUE(MID(INDEX(TabSLS[[#Headers],[:1]:[:37]],COLUMN()-COLUMN(TabSLS[[#Headers],[:1]])+1),2,3))</f>
        <v>0.66666666666666663</v>
      </c>
      <c r="Y11" s="48">
        <f>Grunddaten[[#This Row],[Sitze im Hauptorgan]]/_xlfn.NUMBERVALUE(MID(INDEX(TabSLS[[#Headers],[:1]:[:37]],COLUMN()-COLUMN(TabSLS[[#Headers],[:1]])+1),2,3))</f>
        <v>0.4</v>
      </c>
      <c r="Z11" s="48">
        <f>Grunddaten[[#This Row],[Sitze im Hauptorgan]]/_xlfn.NUMBERVALUE(MID(INDEX(TabSLS[[#Headers],[:1]:[:37]],COLUMN()-COLUMN(TabSLS[[#Headers],[:1]])+1),2,3))</f>
        <v>0.2857142857142857</v>
      </c>
      <c r="AA11" s="48">
        <f>Grunddaten[[#This Row],[Sitze im Hauptorgan]]/_xlfn.NUMBERVALUE(MID(INDEX(TabSLS[[#Headers],[:1]:[:37]],COLUMN()-COLUMN(TabSLS[[#Headers],[:1]])+1),2,3))</f>
        <v>0.22222222222222221</v>
      </c>
      <c r="AB11" s="48">
        <f>Grunddaten[[#This Row],[Sitze im Hauptorgan]]/_xlfn.NUMBERVALUE(MID(INDEX(TabSLS[[#Headers],[:1]:[:37]],COLUMN()-COLUMN(TabSLS[[#Headers],[:1]])+1),2,3))</f>
        <v>0.18181818181818182</v>
      </c>
      <c r="AC11" s="48">
        <f>Grunddaten[[#This Row],[Sitze im Hauptorgan]]/_xlfn.NUMBERVALUE(MID(INDEX(TabSLS[[#Headers],[:1]:[:37]],COLUMN()-COLUMN(TabSLS[[#Headers],[:1]])+1),2,3))</f>
        <v>0.15384615384615385</v>
      </c>
      <c r="AD11" s="48">
        <f>Grunddaten[[#This Row],[Sitze im Hauptorgan]]/_xlfn.NUMBERVALUE(MID(INDEX(TabSLS[[#Headers],[:1]:[:37]],COLUMN()-COLUMN(TabSLS[[#Headers],[:1]])+1),2,3))</f>
        <v>0.13333333333333333</v>
      </c>
      <c r="AE11" s="48">
        <f>Grunddaten[[#This Row],[Sitze im Hauptorgan]]/_xlfn.NUMBERVALUE(MID(INDEX(TabSLS[[#Headers],[:1]:[:37]],COLUMN()-COLUMN(TabSLS[[#Headers],[:1]])+1),2,3))</f>
        <v>0.11764705882352941</v>
      </c>
      <c r="AF11" s="48">
        <f>Grunddaten[[#This Row],[Sitze im Hauptorgan]]/_xlfn.NUMBERVALUE(MID(INDEX(TabSLS[[#Headers],[:1]:[:37]],COLUMN()-COLUMN(TabSLS[[#Headers],[:1]])+1),2,3))</f>
        <v>0.10526315789473684</v>
      </c>
      <c r="AG11" s="48">
        <f>Grunddaten[[#This Row],[Sitze im Hauptorgan]]/_xlfn.NUMBERVALUE(MID(INDEX(TabSLS[[#Headers],[:1]:[:37]],COLUMN()-COLUMN(TabSLS[[#Headers],[:1]])+1),2,3))</f>
        <v>9.5238095238095233E-2</v>
      </c>
      <c r="AH11" s="48">
        <f>Grunddaten[[#This Row],[Sitze im Hauptorgan]]/_xlfn.NUMBERVALUE(MID(INDEX(TabSLS[[#Headers],[:1]:[:37]],COLUMN()-COLUMN(TabSLS[[#Headers],[:1]])+1),2,3))</f>
        <v>8.6956521739130432E-2</v>
      </c>
      <c r="AI11" s="48">
        <f>Grunddaten[[#This Row],[Sitze im Hauptorgan]]/_xlfn.NUMBERVALUE(MID(INDEX(TabSLS[[#Headers],[:1]:[:37]],COLUMN()-COLUMN(TabSLS[[#Headers],[:1]])+1),2,3))</f>
        <v>0.08</v>
      </c>
      <c r="AJ11" s="48">
        <f>Grunddaten[[#This Row],[Sitze im Hauptorgan]]/_xlfn.NUMBERVALUE(MID(INDEX(TabSLS[[#Headers],[:1]:[:37]],COLUMN()-COLUMN(TabSLS[[#Headers],[:1]])+1),2,3))</f>
        <v>7.407407407407407E-2</v>
      </c>
      <c r="AK11" s="48">
        <f>Grunddaten[[#This Row],[Sitze im Hauptorgan]]/_xlfn.NUMBERVALUE(MID(INDEX(TabSLS[[#Headers],[:1]:[:37]],COLUMN()-COLUMN(TabSLS[[#Headers],[:1]])+1),2,3))</f>
        <v>6.8965517241379309E-2</v>
      </c>
      <c r="AL11" s="48">
        <f>Grunddaten[[#This Row],[Sitze im Hauptorgan]]/_xlfn.NUMBERVALUE(MID(INDEX(TabSLS[[#Headers],[:1]:[:37]],COLUMN()-COLUMN(TabSLS[[#Headers],[:1]])+1),2,3))</f>
        <v>6.4516129032258063E-2</v>
      </c>
      <c r="AM11" s="48">
        <f>Grunddaten[[#This Row],[Sitze im Hauptorgan]]/_xlfn.NUMBERVALUE(MID(INDEX(TabSLS[[#Headers],[:1]:[:37]],COLUMN()-COLUMN(TabSLS[[#Headers],[:1]])+1),2,3))</f>
        <v>6.0606060606060608E-2</v>
      </c>
      <c r="AN11" s="48">
        <f>Grunddaten[[#This Row],[Sitze im Hauptorgan]]/_xlfn.NUMBERVALUE(MID(INDEX(TabSLS[[#Headers],[:1]:[:37]],COLUMN()-COLUMN(TabSLS[[#Headers],[:1]])+1),2,3))</f>
        <v>5.7142857142857141E-2</v>
      </c>
      <c r="AO11" s="49">
        <f>Grunddaten[[#This Row],[Sitze im Hauptorgan]]/_xlfn.NUMBERVALUE(MID(INDEX(TabSLS[[#Headers],[:1]:[:37]],COLUMN()-COLUMN(TabSLS[[#Headers],[:1]])+1),2,3))</f>
        <v>5.4054054054054057E-2</v>
      </c>
      <c r="AP11" s="50">
        <f>_xlfn.RANK.EQ(TabSLS[[#This Row],[:1]],TabSLS[[:1]:[:37]],0)</f>
        <v>5</v>
      </c>
      <c r="AQ11" s="51">
        <f>_xlfn.RANK.EQ(TabSLS[[#This Row],[:3]],TabSLS[[:1]:[:37]],0)</f>
        <v>19</v>
      </c>
      <c r="AR11" s="51">
        <f>_xlfn.RANK.EQ(TabSLS[[#This Row],[:5]],TabSLS[[:1]:[:37]],0)</f>
        <v>29</v>
      </c>
      <c r="AS11" s="51">
        <f>_xlfn.RANK.EQ(TabSLS[[#This Row],[:7]],TabSLS[[:1]:[:37]],0)</f>
        <v>43</v>
      </c>
      <c r="AT11" s="51">
        <f>_xlfn.RANK.EQ(TabSLS[[#This Row],[:9]],TabSLS[[:1]:[:37]],0)</f>
        <v>53</v>
      </c>
      <c r="AU11" s="51">
        <f>_xlfn.RANK.EQ(TabSLS[[#This Row],[:11]],TabSLS[[:1]:[:37]],0)</f>
        <v>67</v>
      </c>
      <c r="AV11" s="51">
        <f>_xlfn.RANK.EQ(TabSLS[[#This Row],[:13]],TabSLS[[:1]:[:37]],0)</f>
        <v>77</v>
      </c>
      <c r="AW11" s="51">
        <f>_xlfn.RANK.EQ(TabSLS[[#This Row],[:15]],TabSLS[[:1]:[:37]],0)</f>
        <v>88</v>
      </c>
      <c r="AX11" s="51">
        <f>_xlfn.RANK.EQ(TabSLS[[#This Row],[:17]],TabSLS[[:1]:[:37]],0)</f>
        <v>93</v>
      </c>
      <c r="AY11" s="51">
        <f>_xlfn.RANK.EQ(TabSLS[[#This Row],[:19]],TabSLS[[:1]:[:37]],0)</f>
        <v>101</v>
      </c>
      <c r="AZ11" s="51">
        <f>_xlfn.RANK.EQ(TabSLS[[#This Row],[:21]],TabSLS[[:1]:[:37]],0)</f>
        <v>104</v>
      </c>
      <c r="BA11" s="51">
        <f>_xlfn.RANK.EQ(TabSLS[[#This Row],[:23]],TabSLS[[:1]:[:37]],0)</f>
        <v>110</v>
      </c>
      <c r="BB11" s="51">
        <f>_xlfn.RANK.EQ(TabSLS[[#This Row],[:25]],TabSLS[[:1]:[:37]],0)</f>
        <v>113</v>
      </c>
      <c r="BC11" s="51">
        <f>_xlfn.RANK.EQ(TabSLS[[#This Row],[:27]],TabSLS[[:1]:[:37]],0)</f>
        <v>118</v>
      </c>
      <c r="BD11" s="51">
        <f>_xlfn.RANK.EQ(TabSLS[[#This Row],[:29]],TabSLS[[:1]:[:37]],0)</f>
        <v>119</v>
      </c>
      <c r="BE11" s="51">
        <f>_xlfn.RANK.EQ(TabSLS[[#This Row],[:31]],TabSLS[[:1]:[:37]],0)</f>
        <v>124</v>
      </c>
      <c r="BF11" s="51">
        <f>_xlfn.RANK.EQ(TabSLS[[#This Row],[:33]],TabSLS[[:1]:[:37]],0)</f>
        <v>125</v>
      </c>
      <c r="BG11" s="51">
        <f>_xlfn.RANK.EQ(TabSLS[[#This Row],[:35]],TabSLS[[:1]:[:37]],0)</f>
        <v>130</v>
      </c>
      <c r="BH11" s="52">
        <f>_xlfn.RANK.EQ(TabSLS[[#This Row],[:37]],TabSLS[[:1]:[:37]],0)</f>
        <v>131</v>
      </c>
      <c r="BI11" s="53" t="str">
        <f>IF(TabSLS[[#This Row],[R1]]&lt;=Sitze_Ausschuss,IF(TabSLS[[#This Row],[R1]]+COUNTIF(TabSLS[[R1]:[R37]],TabSLS[[#This Row],[R1]])-1&lt;=Sitze_Ausschuss,"SITZ","PATT"),"")</f>
        <v>SITZ</v>
      </c>
      <c r="BJ11" s="54" t="str">
        <f>IF(TabSLS[[#This Row],[R3]]&lt;=Sitze_Ausschuss,IF(TabSLS[[#This Row],[R3]]+COUNTIF(TabSLS[[R1]:[R37]],TabSLS[[#This Row],[R3]])-1&lt;=Sitze_Ausschuss,"SITZ","PATT"),"")</f>
        <v/>
      </c>
      <c r="BK11" s="54" t="str">
        <f>IF(TabSLS[[#This Row],[R5]]&lt;=Sitze_Ausschuss,IF(TabSLS[[#This Row],[R5]]+COUNTIF(TabSLS[[R1]:[R37]],TabSLS[[#This Row],[R5]])-1&lt;=Sitze_Ausschuss,"SITZ","PATT"),"")</f>
        <v/>
      </c>
      <c r="BL11" s="54" t="str">
        <f>IF(TabSLS[[#This Row],[R7]]&lt;=Sitze_Ausschuss,IF(TabSLS[[#This Row],[R7]]+COUNTIF(TabSLS[[R1]:[R37]],TabSLS[[#This Row],[R7]])-1&lt;=Sitze_Ausschuss,"SITZ","PATT"),"")</f>
        <v/>
      </c>
      <c r="BM11" s="54" t="str">
        <f>IF(TabSLS[[#This Row],[R9]]&lt;=Sitze_Ausschuss,IF(TabSLS[[#This Row],[R9]]+COUNTIF(TabSLS[[R1]:[R37]],TabSLS[[#This Row],[R9]])-1&lt;=Sitze_Ausschuss,"SITZ","PATT"),"")</f>
        <v/>
      </c>
      <c r="BN11" s="54" t="str">
        <f>IF(TabSLS[[#This Row],[R11]]&lt;=Sitze_Ausschuss,IF(TabSLS[[#This Row],[R11]]+COUNTIF(TabSLS[[R1]:[R37]],TabSLS[[#This Row],[R11]])-1&lt;=Sitze_Ausschuss,"SITZ","PATT"),"")</f>
        <v/>
      </c>
      <c r="BO11" s="54" t="str">
        <f>IF(TabSLS[[#This Row],[R13]]&lt;=Sitze_Ausschuss,IF(TabSLS[[#This Row],[R13]]+COUNTIF(TabSLS[[R1]:[R37]],TabSLS[[#This Row],[R13]])-1&lt;=Sitze_Ausschuss,"SITZ","PATT"),"")</f>
        <v/>
      </c>
      <c r="BP11" s="54" t="str">
        <f>IF(TabSLS[[#This Row],[R15]]&lt;=Sitze_Ausschuss,IF(TabSLS[[#This Row],[R15]]+COUNTIF(TabSLS[[R1]:[R37]],TabSLS[[#This Row],[R15]])-1&lt;=Sitze_Ausschuss,"SITZ","PATT"),"")</f>
        <v/>
      </c>
      <c r="BQ11" s="54" t="str">
        <f>IF(TabSLS[[#This Row],[R17]]&lt;=Sitze_Ausschuss,IF(TabSLS[[#This Row],[R17]]+COUNTIF(TabSLS[[R1]:[R37]],TabSLS[[#This Row],[R17]])-1&lt;=Sitze_Ausschuss,"SITZ","PATT"),"")</f>
        <v/>
      </c>
      <c r="BR11" s="54" t="str">
        <f>IF(TabSLS[[#This Row],[R19]]&lt;=Sitze_Ausschuss,IF(TabSLS[[#This Row],[R19]]+COUNTIF(TabSLS[[R1]:[R37]],TabSLS[[#This Row],[R19]])-1&lt;=Sitze_Ausschuss,"SITZ","PATT"),"")</f>
        <v/>
      </c>
      <c r="BS11" s="54" t="str">
        <f>IF(TabSLS[[#This Row],[R21]]&lt;=Sitze_Ausschuss,IF(TabSLS[[#This Row],[R21]]+COUNTIF(TabSLS[[R1]:[R37]],TabSLS[[#This Row],[R21]])-1&lt;=Sitze_Ausschuss,"SITZ","PATT"),"")</f>
        <v/>
      </c>
      <c r="BT11" s="54" t="str">
        <f>IF(TabSLS[[#This Row],[R23]]&lt;=Sitze_Ausschuss,IF(TabSLS[[#This Row],[R23]]+COUNTIF(TabSLS[[R1]:[R37]],TabSLS[[#This Row],[R23]])-1&lt;=Sitze_Ausschuss,"SITZ","PATT"),"")</f>
        <v/>
      </c>
      <c r="BU11" s="54" t="str">
        <f>IF(TabSLS[[#This Row],[R25]]&lt;=Sitze_Ausschuss,IF(TabSLS[[#This Row],[R25]]+COUNTIF(TabSLS[[R1]:[R37]],TabSLS[[#This Row],[R25]])-1&lt;=Sitze_Ausschuss,"SITZ","PATT"),"")</f>
        <v/>
      </c>
      <c r="BV11" s="54" t="str">
        <f>IF(TabSLS[[#This Row],[R27]]&lt;=Sitze_Ausschuss,IF(TabSLS[[#This Row],[R27]]+COUNTIF(TabSLS[[R1]:[R37]],TabSLS[[#This Row],[R27]])-1&lt;=Sitze_Ausschuss,"SITZ","PATT"),"")</f>
        <v/>
      </c>
      <c r="BW11" s="54" t="str">
        <f>IF(TabSLS[[#This Row],[R29]]&lt;=Sitze_Ausschuss,IF(TabSLS[[#This Row],[R29]]+COUNTIF(TabSLS[[R1]:[R37]],TabSLS[[#This Row],[R29]])-1&lt;=Sitze_Ausschuss,"SITZ","PATT"),"")</f>
        <v/>
      </c>
      <c r="BX11" s="54" t="str">
        <f>IF(TabSLS[[#This Row],[R31]]&lt;=Sitze_Ausschuss,IF(TabSLS[[#This Row],[R31]]+COUNTIF(TabSLS[[R1]:[R37]],TabSLS[[#This Row],[R31]])-1&lt;=Sitze_Ausschuss,"SITZ","PATT"),"")</f>
        <v/>
      </c>
      <c r="BY11" s="54" t="str">
        <f>IF(TabSLS[[#This Row],[R33]]&lt;=Sitze_Ausschuss,IF(TabSLS[[#This Row],[R33]]+COUNTIF(TabSLS[[R1]:[R37]],TabSLS[[#This Row],[R33]])-1&lt;=Sitze_Ausschuss,"SITZ","PATT"),"")</f>
        <v/>
      </c>
      <c r="BZ11" s="54" t="str">
        <f>IF(TabSLS[[#This Row],[R35]]&lt;=Sitze_Ausschuss,IF(TabSLS[[#This Row],[R35]]+COUNTIF(TabSLS[[R1]:[R37]],TabSLS[[#This Row],[R35]])-1&lt;=Sitze_Ausschuss,"SITZ","PATT"),"")</f>
        <v/>
      </c>
      <c r="CA11" s="55" t="str">
        <f>IF(TabSLS[[#This Row],[R37]]&lt;=Sitze_Ausschuss,IF(TabSLS[[#This Row],[R37]]+COUNTIF(TabSLS[[R1]:[R37]],TabSLS[[#This Row],[R37]])-1&lt;=Sitze_Ausschuss,"SITZ","PATT"),"")</f>
        <v/>
      </c>
      <c r="CB11" s="56" t="b">
        <f>COUNTIF(TabSLS[[#This Row],[SP1]:[SP37]],"PATT")&gt;0</f>
        <v>0</v>
      </c>
      <c r="CC11" s="42">
        <f>IF(TabSLS[[#This Row],[Patt?]],(Sitze_Ausschuss-SUM(TabSLS[Sitze]))/TabSLS[[#Totals],[Patt?]],0)</f>
        <v>0</v>
      </c>
      <c r="CD11" s="57">
        <f>TabSLS[[#This Row],[Patt?]]*IF(Pattaufloesung="Stimmen",TabPatt[[#This Row],[Stimmen]],TabPatt[[#This Row],[Loserfolg]])*1</f>
        <v>0</v>
      </c>
      <c r="CE11" s="58" t="b">
        <f>_xlfn.RANK.EQ(TabSLS[[#This Row],[Stimmen Gelost]],TabSLS[Stimmen Gelost],0)&lt;=(Sitze_Ausschuss-SUM(TabSLS[Sitze]))</f>
        <v>1</v>
      </c>
      <c r="CF11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1" s="3"/>
      <c r="CH11" s="45">
        <f>COUNTIF(TabDH[[#This Row],[SP1]:[SP19]],"SITZ")</f>
        <v>1</v>
      </c>
      <c r="CI11" s="46">
        <f>IF(TabDH[[#This Row],[Patt]],IF(Pattaufloesung="Los-Chance",TabDH[[#This Row],[Los Chance]],TabDH[[#This Row],[Pattgewinn]]+0),0)</f>
        <v>0</v>
      </c>
      <c r="CJ11" s="47">
        <f>Grunddaten[[#This Row],[Sitze im Hauptorgan]]/_xlfn.NUMBERVALUE(MID(INDEX(TabDH[[#Headers],[:1]:[:19]],COLUMN()-COLUMN(TabDH[[#Headers],[:1]])+1),2,3))</f>
        <v>2</v>
      </c>
      <c r="CK11" s="48">
        <f>Grunddaten[[#This Row],[Sitze im Hauptorgan]]/_xlfn.NUMBERVALUE(MID(INDEX(TabDH[[#Headers],[:1]:[:19]],COLUMN()-COLUMN(TabDH[[#Headers],[:1]])+1),2,3))</f>
        <v>1</v>
      </c>
      <c r="CL11" s="48">
        <f>Grunddaten[[#This Row],[Sitze im Hauptorgan]]/_xlfn.NUMBERVALUE(MID(INDEX(TabDH[[#Headers],[:1]:[:19]],COLUMN()-COLUMN(TabDH[[#Headers],[:1]])+1),2,3))</f>
        <v>0.66666666666666663</v>
      </c>
      <c r="CM11" s="48">
        <f>Grunddaten[[#This Row],[Sitze im Hauptorgan]]/_xlfn.NUMBERVALUE(MID(INDEX(TabDH[[#Headers],[:1]:[:19]],COLUMN()-COLUMN(TabDH[[#Headers],[:1]])+1),2,3))</f>
        <v>0.5</v>
      </c>
      <c r="CN11" s="48">
        <f>Grunddaten[[#This Row],[Sitze im Hauptorgan]]/_xlfn.NUMBERVALUE(MID(INDEX(TabDH[[#Headers],[:1]:[:19]],COLUMN()-COLUMN(TabDH[[#Headers],[:1]])+1),2,3))</f>
        <v>0.4</v>
      </c>
      <c r="CO11" s="48">
        <f>Grunddaten[[#This Row],[Sitze im Hauptorgan]]/_xlfn.NUMBERVALUE(MID(INDEX(TabDH[[#Headers],[:1]:[:19]],COLUMN()-COLUMN(TabDH[[#Headers],[:1]])+1),2,3))</f>
        <v>0.33333333333333331</v>
      </c>
      <c r="CP11" s="48">
        <f>Grunddaten[[#This Row],[Sitze im Hauptorgan]]/_xlfn.NUMBERVALUE(MID(INDEX(TabDH[[#Headers],[:1]:[:19]],COLUMN()-COLUMN(TabDH[[#Headers],[:1]])+1),2,3))</f>
        <v>0.2857142857142857</v>
      </c>
      <c r="CQ11" s="48">
        <f>Grunddaten[[#This Row],[Sitze im Hauptorgan]]/_xlfn.NUMBERVALUE(MID(INDEX(TabDH[[#Headers],[:1]:[:19]],COLUMN()-COLUMN(TabDH[[#Headers],[:1]])+1),2,3))</f>
        <v>0.25</v>
      </c>
      <c r="CR11" s="48">
        <f>Grunddaten[[#This Row],[Sitze im Hauptorgan]]/_xlfn.NUMBERVALUE(MID(INDEX(TabDH[[#Headers],[:1]:[:19]],COLUMN()-COLUMN(TabDH[[#Headers],[:1]])+1),2,3))</f>
        <v>0.22222222222222221</v>
      </c>
      <c r="CS11" s="48">
        <f>Grunddaten[[#This Row],[Sitze im Hauptorgan]]/_xlfn.NUMBERVALUE(MID(INDEX(TabDH[[#Headers],[:1]:[:19]],COLUMN()-COLUMN(TabDH[[#Headers],[:1]])+1),2,3))</f>
        <v>0.2</v>
      </c>
      <c r="CT11" s="48">
        <f>Grunddaten[[#This Row],[Sitze im Hauptorgan]]/_xlfn.NUMBERVALUE(MID(INDEX(TabDH[[#Headers],[:1]:[:19]],COLUMN()-COLUMN(TabDH[[#Headers],[:1]])+1),2,3))</f>
        <v>0.18181818181818182</v>
      </c>
      <c r="CU11" s="48">
        <f>Grunddaten[[#This Row],[Sitze im Hauptorgan]]/_xlfn.NUMBERVALUE(MID(INDEX(TabDH[[#Headers],[:1]:[:19]],COLUMN()-COLUMN(TabDH[[#Headers],[:1]])+1),2,3))</f>
        <v>0.16666666666666666</v>
      </c>
      <c r="CV11" s="48">
        <f>Grunddaten[[#This Row],[Sitze im Hauptorgan]]/_xlfn.NUMBERVALUE(MID(INDEX(TabDH[[#Headers],[:1]:[:19]],COLUMN()-COLUMN(TabDH[[#Headers],[:1]])+1),2,3))</f>
        <v>0.15384615384615385</v>
      </c>
      <c r="CW11" s="48">
        <f>Grunddaten[[#This Row],[Sitze im Hauptorgan]]/_xlfn.NUMBERVALUE(MID(INDEX(TabDH[[#Headers],[:1]:[:19]],COLUMN()-COLUMN(TabDH[[#Headers],[:1]])+1),2,3))</f>
        <v>0.14285714285714285</v>
      </c>
      <c r="CX11" s="48">
        <f>Grunddaten[[#This Row],[Sitze im Hauptorgan]]/_xlfn.NUMBERVALUE(MID(INDEX(TabDH[[#Headers],[:1]:[:19]],COLUMN()-COLUMN(TabDH[[#Headers],[:1]])+1),2,3))</f>
        <v>0.13333333333333333</v>
      </c>
      <c r="CY11" s="48">
        <f>Grunddaten[[#This Row],[Sitze im Hauptorgan]]/_xlfn.NUMBERVALUE(MID(INDEX(TabDH[[#Headers],[:1]:[:19]],COLUMN()-COLUMN(TabDH[[#Headers],[:1]])+1),2,3))</f>
        <v>0.125</v>
      </c>
      <c r="CZ11" s="48">
        <f>Grunddaten[[#This Row],[Sitze im Hauptorgan]]/_xlfn.NUMBERVALUE(MID(INDEX(TabDH[[#Headers],[:1]:[:19]],COLUMN()-COLUMN(TabDH[[#Headers],[:1]])+1),2,3))</f>
        <v>0.11764705882352941</v>
      </c>
      <c r="DA11" s="48">
        <f>Grunddaten[[#This Row],[Sitze im Hauptorgan]]/_xlfn.NUMBERVALUE(MID(INDEX(TabDH[[#Headers],[:1]:[:19]],COLUMN()-COLUMN(TabDH[[#Headers],[:1]])+1),2,3))</f>
        <v>0.1111111111111111</v>
      </c>
      <c r="DB11" s="49">
        <f>Grunddaten[[#This Row],[Sitze im Hauptorgan]]/_xlfn.NUMBERVALUE(MID(INDEX(TabDH[[#Headers],[:1]:[:19]],COLUMN()-COLUMN(TabDH[[#Headers],[:1]])+1),2,3))</f>
        <v>0.10526315789473684</v>
      </c>
      <c r="DC11" s="50">
        <f>_xlfn.RANK.EQ(TabDH[[#This Row],[:1]],TabDH[[:1]:[:19]],0)</f>
        <v>7</v>
      </c>
      <c r="DD11" s="51">
        <f>_xlfn.RANK.EQ(TabDH[[#This Row],[:2]],TabDH[[:1]:[:19]],0)</f>
        <v>16</v>
      </c>
      <c r="DE11" s="51">
        <f>_xlfn.RANK.EQ(TabDH[[#This Row],[:3]],TabDH[[:1]:[:19]],0)</f>
        <v>31</v>
      </c>
      <c r="DF11" s="51">
        <f>_xlfn.RANK.EQ(TabDH[[#This Row],[:4]],TabDH[[:1]:[:19]],0)</f>
        <v>40</v>
      </c>
      <c r="DG11" s="51">
        <f>_xlfn.RANK.EQ(TabDH[[#This Row],[:5]],TabDH[[:1]:[:19]],0)</f>
        <v>55</v>
      </c>
      <c r="DH11" s="51">
        <f>_xlfn.RANK.EQ(TabDH[[#This Row],[:6]],TabDH[[:1]:[:19]],0)</f>
        <v>64</v>
      </c>
      <c r="DI11" s="51">
        <f>_xlfn.RANK.EQ(TabDH[[#This Row],[:7]],TabDH[[:1]:[:19]],0)</f>
        <v>78</v>
      </c>
      <c r="DJ11" s="51">
        <f>_xlfn.RANK.EQ(TabDH[[#This Row],[:8]],TabDH[[:1]:[:19]],0)</f>
        <v>84</v>
      </c>
      <c r="DK11" s="51">
        <f>_xlfn.RANK.EQ(TabDH[[#This Row],[:9]],TabDH[[:1]:[:19]],0)</f>
        <v>93</v>
      </c>
      <c r="DL11" s="51">
        <f>_xlfn.RANK.EQ(TabDH[[#This Row],[:10]],TabDH[[:1]:[:19]],0)</f>
        <v>97</v>
      </c>
      <c r="DM11" s="51">
        <f>_xlfn.RANK.EQ(TabDH[[#This Row],[:11]],TabDH[[:1]:[:19]],0)</f>
        <v>104</v>
      </c>
      <c r="DN11" s="51">
        <f>_xlfn.RANK.EQ(TabDH[[#This Row],[:12]],TabDH[[:1]:[:19]],0)</f>
        <v>106</v>
      </c>
      <c r="DO11" s="51">
        <f>_xlfn.RANK.EQ(TabDH[[#This Row],[:13]],TabDH[[:1]:[:19]],0)</f>
        <v>113</v>
      </c>
      <c r="DP11" s="51">
        <f>_xlfn.RANK.EQ(TabDH[[#This Row],[:14]],TabDH[[:1]:[:19]],0)</f>
        <v>114</v>
      </c>
      <c r="DQ11" s="51">
        <f>_xlfn.RANK.EQ(TabDH[[#This Row],[:15]],TabDH[[:1]:[:19]],0)</f>
        <v>119</v>
      </c>
      <c r="DR11" s="51">
        <f>_xlfn.RANK.EQ(TabDH[[#This Row],[:16]],TabDH[[:1]:[:19]],0)</f>
        <v>120</v>
      </c>
      <c r="DS11" s="51">
        <f>_xlfn.RANK.EQ(TabDH[[#This Row],[:17]],TabDH[[:1]:[:19]],0)</f>
        <v>125</v>
      </c>
      <c r="DT11" s="51">
        <f>_xlfn.RANK.EQ(TabDH[[#This Row],[:18]],TabDH[[:1]:[:19]],0)</f>
        <v>126</v>
      </c>
      <c r="DU11" s="52">
        <f>_xlfn.RANK.EQ(TabDH[[#This Row],[:19]],TabDH[[:1]:[:19]],0)</f>
        <v>131</v>
      </c>
      <c r="DV11" s="53" t="str">
        <f>IF(TabDH[[#This Row],[R1]]&lt;=Sitze_Ausschuss,IF(TabDH[[#This Row],[R1]]+COUNTIF(TabDH[[R1]:[R19]],TabDH[[#This Row],[R1]])-1&lt;=Sitze_Ausschuss,"SITZ","PATT"),"")</f>
        <v>SITZ</v>
      </c>
      <c r="DW11" s="54" t="str">
        <f>IF(TabDH[[#This Row],[R2]]&lt;=Sitze_Ausschuss,IF(TabDH[[#This Row],[R2]]+COUNTIF(TabDH[[R1]:[R19]],TabDH[[#This Row],[R2]])-1&lt;=Sitze_Ausschuss,"SITZ","PATT"),"")</f>
        <v/>
      </c>
      <c r="DX11" s="54" t="str">
        <f>IF(TabDH[[#This Row],[R3]]&lt;=Sitze_Ausschuss,IF(TabDH[[#This Row],[R3]]+COUNTIF(TabDH[[R1]:[R19]],TabDH[[#This Row],[R3]])-1&lt;=Sitze_Ausschuss,"SITZ","PATT"),"")</f>
        <v/>
      </c>
      <c r="DY11" s="54" t="str">
        <f>IF(TabDH[[#This Row],[R4]]&lt;=Sitze_Ausschuss,IF(TabDH[[#This Row],[R4]]+COUNTIF(TabDH[[R1]:[R19]],TabDH[[#This Row],[R4]])-1&lt;=Sitze_Ausschuss,"SITZ","PATT"),"")</f>
        <v/>
      </c>
      <c r="DZ11" s="54" t="str">
        <f>IF(TabDH[[#This Row],[R5]]&lt;=Sitze_Ausschuss,IF(TabDH[[#This Row],[R5]]+COUNTIF(TabDH[[R1]:[R19]],TabDH[[#This Row],[R5]])-1&lt;=Sitze_Ausschuss,"SITZ","PATT"),"")</f>
        <v/>
      </c>
      <c r="EA11" s="54" t="str">
        <f>IF(TabDH[[#This Row],[R6]]&lt;=Sitze_Ausschuss,IF(TabDH[[#This Row],[R6]]+COUNTIF(TabDH[[R1]:[R19]],TabDH[[#This Row],[R6]])-1&lt;=Sitze_Ausschuss,"SITZ","PATT"),"")</f>
        <v/>
      </c>
      <c r="EB11" s="54" t="str">
        <f>IF(TabDH[[#This Row],[R7]]&lt;=Sitze_Ausschuss,IF(TabDH[[#This Row],[R7]]+COUNTIF(TabDH[[R1]:[R19]],TabDH[[#This Row],[R7]])-1&lt;=Sitze_Ausschuss,"SITZ","PATT"),"")</f>
        <v/>
      </c>
      <c r="EC11" s="54" t="str">
        <f>IF(TabDH[[#This Row],[R8]]&lt;=Sitze_Ausschuss,IF(TabDH[[#This Row],[R8]]+COUNTIF(TabDH[[R1]:[R19]],TabDH[[#This Row],[R8]])-1&lt;=Sitze_Ausschuss,"SITZ","PATT"),"")</f>
        <v/>
      </c>
      <c r="ED11" s="54" t="str">
        <f>IF(TabDH[[#This Row],[R9]]&lt;=Sitze_Ausschuss,IF(TabDH[[#This Row],[R9]]+COUNTIF(TabDH[[R1]:[R19]],TabDH[[#This Row],[R9]])-1&lt;=Sitze_Ausschuss,"SITZ","PATT"),"")</f>
        <v/>
      </c>
      <c r="EE11" s="54" t="str">
        <f>IF(TabDH[[#This Row],[R10]]&lt;=Sitze_Ausschuss,IF(TabDH[[#This Row],[R10]]+COUNTIF(TabDH[[R1]:[R19]],TabDH[[#This Row],[R10]])-1&lt;=Sitze_Ausschuss,"SITZ","PATT"),"")</f>
        <v/>
      </c>
      <c r="EF11" s="54" t="str">
        <f>IF(TabDH[[#This Row],[R11]]&lt;=Sitze_Ausschuss,IF(TabDH[[#This Row],[R11]]+COUNTIF(TabDH[[R1]:[R19]],TabDH[[#This Row],[R11]])-1&lt;=Sitze_Ausschuss,"SITZ","PATT"),"")</f>
        <v/>
      </c>
      <c r="EG11" s="54" t="str">
        <f>IF(TabDH[[#This Row],[R12]]&lt;=Sitze_Ausschuss,IF(TabDH[[#This Row],[R12]]+COUNTIF(TabDH[[R1]:[R19]],TabDH[[#This Row],[R12]])-1&lt;=Sitze_Ausschuss,"SITZ","PATT"),"")</f>
        <v/>
      </c>
      <c r="EH11" s="54" t="str">
        <f>IF(TabDH[[#This Row],[R13]]&lt;=Sitze_Ausschuss,IF(TabDH[[#This Row],[R13]]+COUNTIF(TabDH[[R1]:[R19]],TabDH[[#This Row],[R13]])-1&lt;=Sitze_Ausschuss,"SITZ","PATT"),"")</f>
        <v/>
      </c>
      <c r="EI11" s="54" t="str">
        <f>IF(TabDH[[#This Row],[R14]]&lt;=Sitze_Ausschuss,IF(TabDH[[#This Row],[R14]]+COUNTIF(TabDH[[R1]:[R19]],TabDH[[#This Row],[R14]])-1&lt;=Sitze_Ausschuss,"SITZ","PATT"),"")</f>
        <v/>
      </c>
      <c r="EJ11" s="54" t="str">
        <f>IF(TabDH[[#This Row],[R15]]&lt;=Sitze_Ausschuss,IF(TabDH[[#This Row],[R15]]+COUNTIF(TabDH[[R1]:[R19]],TabDH[[#This Row],[R15]])-1&lt;=Sitze_Ausschuss,"SITZ","PATT"),"")</f>
        <v/>
      </c>
      <c r="EK11" s="54" t="str">
        <f>IF(TabDH[[#This Row],[R16]]&lt;=Sitze_Ausschuss,IF(TabDH[[#This Row],[R16]]+COUNTIF(TabDH[[R1]:[R19]],TabDH[[#This Row],[R16]])-1&lt;=Sitze_Ausschuss,"SITZ","PATT"),"")</f>
        <v/>
      </c>
      <c r="EL11" s="54" t="str">
        <f>IF(TabDH[[#This Row],[R17]]&lt;=Sitze_Ausschuss,IF(TabDH[[#This Row],[R17]]+COUNTIF(TabDH[[R1]:[R19]],TabDH[[#This Row],[R17]])-1&lt;=Sitze_Ausschuss,"SITZ","PATT"),"")</f>
        <v/>
      </c>
      <c r="EM11" s="54" t="str">
        <f>IF(TabDH[[#This Row],[R18]]&lt;=Sitze_Ausschuss,IF(TabDH[[#This Row],[R18]]+COUNTIF(TabDH[[R1]:[R19]],TabDH[[#This Row],[R18]])-1&lt;=Sitze_Ausschuss,"SITZ","PATT"),"")</f>
        <v/>
      </c>
      <c r="EN11" s="54" t="str">
        <f>IF(TabDH[[#This Row],[R19]]&lt;=Sitze_Ausschuss,IF(TabDH[[#This Row],[R19]]+COUNTIF(TabDH[[R1]:[R19]],TabDH[[#This Row],[R19]])-1&lt;=Sitze_Ausschuss,"SITZ","PATT"),"")</f>
        <v/>
      </c>
      <c r="EO11" s="56" t="b">
        <f>COUNTIF(TabDH[[#This Row],[SP1]:[SP19]],"PATT")&gt;0</f>
        <v>0</v>
      </c>
      <c r="EP11" s="42">
        <f>IF(TabDH[[#This Row],[Patt]],(Sitze_Ausschuss-SUM(TabDH[Sitze]))/TabDH[[#Totals],[Patt]],0)</f>
        <v>0</v>
      </c>
      <c r="EQ11" s="57">
        <f>TabDH[[#This Row],[Patt]]*IF(Pattaufloesung="Stimmen",TabPatt[[#This Row],[Stimmen]],TabPatt[[#This Row],[Loserfolg]])*1</f>
        <v>0</v>
      </c>
      <c r="ER11" s="58" t="b">
        <f>_xlfn.RANK.EQ(TabDH[[#This Row],[Stimmen/Gelost]],TabDH[Stimmen/Gelost],0)&lt;=(Sitze_Ausschuss-SUM(TabDH[Sitze]))</f>
        <v>1</v>
      </c>
      <c r="ES11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1" s="3"/>
      <c r="EU11" s="60" t="str">
        <f>Grunddaten[[#This Row],[Partei/Wählergruppe]]&amp;""</f>
        <v>SPD</v>
      </c>
      <c r="EV11" s="85">
        <v>2345</v>
      </c>
      <c r="EW11" s="66" t="b">
        <v>0</v>
      </c>
      <c r="EX11" s="3"/>
      <c r="EY11" s="3"/>
      <c r="EZ11" s="3"/>
      <c r="FA11" s="3"/>
      <c r="FB11" s="3"/>
    </row>
    <row r="12" spans="1:164" x14ac:dyDescent="0.25">
      <c r="A12" s="3"/>
      <c r="B12" s="67" t="s">
        <v>5</v>
      </c>
      <c r="C12" s="85">
        <v>1</v>
      </c>
      <c r="D12" s="83">
        <f>Grunddaten[[#This Row],[Sitze im Hauptorgan]]/Grunddaten[[#Totals],[Sitze im Hauptorgan]]*Sitze_Ausschuss</f>
        <v>0.45833333333333331</v>
      </c>
      <c r="E12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 oder 1</v>
      </c>
      <c r="F12" s="61" t="str">
        <f t="shared" si="0"/>
        <v>OK</v>
      </c>
      <c r="G12" s="62" t="str">
        <f>IF(TabSLS[[#This Row],[QK verletzt]],"NOK","OK")</f>
        <v>OK</v>
      </c>
      <c r="H12" s="63" t="str">
        <f>IF(TabDH[[#This Row],[QK verletzt]],"NOK","OK")</f>
        <v>OK</v>
      </c>
      <c r="I12" s="3"/>
      <c r="J12" s="37">
        <f>TabHN[[#This Row],[S ganz]]+IF(NOT(TabHN[[#This Row],[Patt]]),TabHN[[#This Row],[Restsitz]],0)</f>
        <v>0</v>
      </c>
      <c r="K12" s="38">
        <f>IF(TabHN[[#This Row],[Patt]],IF(Pattaufloesung="Los-Chance",TabHN[[#This Row],[Los Chance]],TabHN[[#This Row],[Pattgewinn]]+0),0)</f>
        <v>0.5</v>
      </c>
      <c r="L12" s="39">
        <f>INT(Grunddaten[[#This Row],[Proporzgenaue Zahl Ausschuss]])</f>
        <v>0</v>
      </c>
      <c r="M12" s="40">
        <f>ROUND(Grunddaten[[#This Row],[Proporzgenaue Zahl Ausschuss]]-TabHN[[#This Row],[S ganz]],4)</f>
        <v>0.45829999999999999</v>
      </c>
      <c r="N12" s="41">
        <f>_xlfn.RANK.EQ(TabHN[[#This Row],[S Rest]],TabHN[S Rest],0)</f>
        <v>4</v>
      </c>
      <c r="O12" s="39">
        <f>IF(TabHN[[#This Row],[Rng Rest]]&lt;=TabHN[[#Totals],[S Rest]],1,0)</f>
        <v>1</v>
      </c>
      <c r="P12" s="39" t="b">
        <f>AND(TabHN[[#This Row],[Restsitz]]=1,(COUNTIF(TabHN[Rng Rest],TabHN[[#This Row],[Rng Rest]])+TabHN[[#This Row],[Rng Rest]]-1)&gt;TabHN[[#Totals],[S Rest]])</f>
        <v>1</v>
      </c>
      <c r="Q12" s="42">
        <f>IF(TabHN[[#This Row],[Patt]],(Sitze_Ausschuss-SUM(TabHN[Sitze]))/TabHN[[#Totals],[Patt]],0)</f>
        <v>0.5</v>
      </c>
      <c r="R12" s="43">
        <f>TabHN[[#This Row],[Patt]]*IF(Pattaufloesung="Stimmen",TabPatt[[#This Row],[Stimmen]],TabPatt[[#This Row],[Loserfolg]])*1</f>
        <v>0</v>
      </c>
      <c r="S12" s="44" t="b">
        <f>_xlfn.RANK.EQ(TabHN[[#This Row],[Stimmen/Gelost]],TabHN[Stimmen/Gelost],0)&lt;=(Sitze_Ausschuss-SUM(TabHN[Sitze]))</f>
        <v>1</v>
      </c>
      <c r="T12" s="3"/>
      <c r="U12" s="45">
        <f>COUNTIF(TabSLS[[#This Row],[SP1]:[SP37]],"SITZ")</f>
        <v>0</v>
      </c>
      <c r="V12" s="46">
        <f>IF(TabSLS[[#This Row],[Patt?]],IF(Pattaufloesung="Los-Chance",TabSLS[[#This Row],[Los Chance]],TabSLS[[#This Row],[Pattgewinn]]+0),0)</f>
        <v>0.33333333333333331</v>
      </c>
      <c r="W12" s="47">
        <f>Grunddaten[[#This Row],[Sitze im Hauptorgan]]/_xlfn.NUMBERVALUE(MID(INDEX(TabSLS[[#Headers],[:1]:[:37]],COLUMN()-COLUMN(TabSLS[[#Headers],[:1]])+1),2,3))</f>
        <v>1</v>
      </c>
      <c r="X12" s="48">
        <f>Grunddaten[[#This Row],[Sitze im Hauptorgan]]/_xlfn.NUMBERVALUE(MID(INDEX(TabSLS[[#Headers],[:1]:[:37]],COLUMN()-COLUMN(TabSLS[[#Headers],[:1]])+1),2,3))</f>
        <v>0.33333333333333331</v>
      </c>
      <c r="Y12" s="48">
        <f>Grunddaten[[#This Row],[Sitze im Hauptorgan]]/_xlfn.NUMBERVALUE(MID(INDEX(TabSLS[[#Headers],[:1]:[:37]],COLUMN()-COLUMN(TabSLS[[#Headers],[:1]])+1),2,3))</f>
        <v>0.2</v>
      </c>
      <c r="Z12" s="48">
        <f>Grunddaten[[#This Row],[Sitze im Hauptorgan]]/_xlfn.NUMBERVALUE(MID(INDEX(TabSLS[[#Headers],[:1]:[:37]],COLUMN()-COLUMN(TabSLS[[#Headers],[:1]])+1),2,3))</f>
        <v>0.14285714285714285</v>
      </c>
      <c r="AA12" s="48">
        <f>Grunddaten[[#This Row],[Sitze im Hauptorgan]]/_xlfn.NUMBERVALUE(MID(INDEX(TabSLS[[#Headers],[:1]:[:37]],COLUMN()-COLUMN(TabSLS[[#Headers],[:1]])+1),2,3))</f>
        <v>0.1111111111111111</v>
      </c>
      <c r="AB12" s="48">
        <f>Grunddaten[[#This Row],[Sitze im Hauptorgan]]/_xlfn.NUMBERVALUE(MID(INDEX(TabSLS[[#Headers],[:1]:[:37]],COLUMN()-COLUMN(TabSLS[[#Headers],[:1]])+1),2,3))</f>
        <v>9.0909090909090912E-2</v>
      </c>
      <c r="AC12" s="48">
        <f>Grunddaten[[#This Row],[Sitze im Hauptorgan]]/_xlfn.NUMBERVALUE(MID(INDEX(TabSLS[[#Headers],[:1]:[:37]],COLUMN()-COLUMN(TabSLS[[#Headers],[:1]])+1),2,3))</f>
        <v>7.6923076923076927E-2</v>
      </c>
      <c r="AD12" s="48">
        <f>Grunddaten[[#This Row],[Sitze im Hauptorgan]]/_xlfn.NUMBERVALUE(MID(INDEX(TabSLS[[#Headers],[:1]:[:37]],COLUMN()-COLUMN(TabSLS[[#Headers],[:1]])+1),2,3))</f>
        <v>6.6666666666666666E-2</v>
      </c>
      <c r="AE12" s="48">
        <f>Grunddaten[[#This Row],[Sitze im Hauptorgan]]/_xlfn.NUMBERVALUE(MID(INDEX(TabSLS[[#Headers],[:1]:[:37]],COLUMN()-COLUMN(TabSLS[[#Headers],[:1]])+1),2,3))</f>
        <v>5.8823529411764705E-2</v>
      </c>
      <c r="AF12" s="48">
        <f>Grunddaten[[#This Row],[Sitze im Hauptorgan]]/_xlfn.NUMBERVALUE(MID(INDEX(TabSLS[[#Headers],[:1]:[:37]],COLUMN()-COLUMN(TabSLS[[#Headers],[:1]])+1),2,3))</f>
        <v>5.2631578947368418E-2</v>
      </c>
      <c r="AG12" s="48">
        <f>Grunddaten[[#This Row],[Sitze im Hauptorgan]]/_xlfn.NUMBERVALUE(MID(INDEX(TabSLS[[#Headers],[:1]:[:37]],COLUMN()-COLUMN(TabSLS[[#Headers],[:1]])+1),2,3))</f>
        <v>4.7619047619047616E-2</v>
      </c>
      <c r="AH12" s="48">
        <f>Grunddaten[[#This Row],[Sitze im Hauptorgan]]/_xlfn.NUMBERVALUE(MID(INDEX(TabSLS[[#Headers],[:1]:[:37]],COLUMN()-COLUMN(TabSLS[[#Headers],[:1]])+1),2,3))</f>
        <v>4.3478260869565216E-2</v>
      </c>
      <c r="AI12" s="48">
        <f>Grunddaten[[#This Row],[Sitze im Hauptorgan]]/_xlfn.NUMBERVALUE(MID(INDEX(TabSLS[[#Headers],[:1]:[:37]],COLUMN()-COLUMN(TabSLS[[#Headers],[:1]])+1),2,3))</f>
        <v>0.04</v>
      </c>
      <c r="AJ12" s="48">
        <f>Grunddaten[[#This Row],[Sitze im Hauptorgan]]/_xlfn.NUMBERVALUE(MID(INDEX(TabSLS[[#Headers],[:1]:[:37]],COLUMN()-COLUMN(TabSLS[[#Headers],[:1]])+1),2,3))</f>
        <v>3.7037037037037035E-2</v>
      </c>
      <c r="AK12" s="48">
        <f>Grunddaten[[#This Row],[Sitze im Hauptorgan]]/_xlfn.NUMBERVALUE(MID(INDEX(TabSLS[[#Headers],[:1]:[:37]],COLUMN()-COLUMN(TabSLS[[#Headers],[:1]])+1),2,3))</f>
        <v>3.4482758620689655E-2</v>
      </c>
      <c r="AL12" s="48">
        <f>Grunddaten[[#This Row],[Sitze im Hauptorgan]]/_xlfn.NUMBERVALUE(MID(INDEX(TabSLS[[#Headers],[:1]:[:37]],COLUMN()-COLUMN(TabSLS[[#Headers],[:1]])+1),2,3))</f>
        <v>3.2258064516129031E-2</v>
      </c>
      <c r="AM12" s="48">
        <f>Grunddaten[[#This Row],[Sitze im Hauptorgan]]/_xlfn.NUMBERVALUE(MID(INDEX(TabSLS[[#Headers],[:1]:[:37]],COLUMN()-COLUMN(TabSLS[[#Headers],[:1]])+1),2,3))</f>
        <v>3.0303030303030304E-2</v>
      </c>
      <c r="AN12" s="48">
        <f>Grunddaten[[#This Row],[Sitze im Hauptorgan]]/_xlfn.NUMBERVALUE(MID(INDEX(TabSLS[[#Headers],[:1]:[:37]],COLUMN()-COLUMN(TabSLS[[#Headers],[:1]])+1),2,3))</f>
        <v>2.8571428571428571E-2</v>
      </c>
      <c r="AO12" s="49">
        <f>Grunddaten[[#This Row],[Sitze im Hauptorgan]]/_xlfn.NUMBERVALUE(MID(INDEX(TabSLS[[#Headers],[:1]:[:37]],COLUMN()-COLUMN(TabSLS[[#Headers],[:1]])+1),2,3))</f>
        <v>2.7027027027027029E-2</v>
      </c>
      <c r="AP12" s="50">
        <f>_xlfn.RANK.EQ(TabSLS[[#This Row],[:1]],TabSLS[[:1]:[:37]],0)</f>
        <v>10</v>
      </c>
      <c r="AQ12" s="51">
        <f>_xlfn.RANK.EQ(TabSLS[[#This Row],[:3]],TabSLS[[:1]:[:37]],0)</f>
        <v>34</v>
      </c>
      <c r="AR12" s="51">
        <f>_xlfn.RANK.EQ(TabSLS[[#This Row],[:5]],TabSLS[[:1]:[:37]],0)</f>
        <v>58</v>
      </c>
      <c r="AS12" s="51">
        <f>_xlfn.RANK.EQ(TabSLS[[#This Row],[:7]],TabSLS[[:1]:[:37]],0)</f>
        <v>80</v>
      </c>
      <c r="AT12" s="51">
        <f>_xlfn.RANK.EQ(TabSLS[[#This Row],[:9]],TabSLS[[:1]:[:37]],0)</f>
        <v>95</v>
      </c>
      <c r="AU12" s="51">
        <f>_xlfn.RANK.EQ(TabSLS[[#This Row],[:11]],TabSLS[[:1]:[:37]],0)</f>
        <v>105</v>
      </c>
      <c r="AV12" s="51">
        <f>_xlfn.RANK.EQ(TabSLS[[#This Row],[:13]],TabSLS[[:1]:[:37]],0)</f>
        <v>114</v>
      </c>
      <c r="AW12" s="51">
        <f>_xlfn.RANK.EQ(TabSLS[[#This Row],[:15]],TabSLS[[:1]:[:37]],0)</f>
        <v>120</v>
      </c>
      <c r="AX12" s="51">
        <f>_xlfn.RANK.EQ(TabSLS[[#This Row],[:17]],TabSLS[[:1]:[:37]],0)</f>
        <v>126</v>
      </c>
      <c r="AY12" s="51">
        <f>_xlfn.RANK.EQ(TabSLS[[#This Row],[:19]],TabSLS[[:1]:[:37]],0)</f>
        <v>132</v>
      </c>
      <c r="AZ12" s="51">
        <f>_xlfn.RANK.EQ(TabSLS[[#This Row],[:21]],TabSLS[[:1]:[:37]],0)</f>
        <v>136</v>
      </c>
      <c r="BA12" s="51">
        <f>_xlfn.RANK.EQ(TabSLS[[#This Row],[:23]],TabSLS[[:1]:[:37]],0)</f>
        <v>140</v>
      </c>
      <c r="BB12" s="51">
        <f>_xlfn.RANK.EQ(TabSLS[[#This Row],[:25]],TabSLS[[:1]:[:37]],0)</f>
        <v>144</v>
      </c>
      <c r="BC12" s="51">
        <f>_xlfn.RANK.EQ(TabSLS[[#This Row],[:27]],TabSLS[[:1]:[:37]],0)</f>
        <v>148</v>
      </c>
      <c r="BD12" s="51">
        <f>_xlfn.RANK.EQ(TabSLS[[#This Row],[:29]],TabSLS[[:1]:[:37]],0)</f>
        <v>152</v>
      </c>
      <c r="BE12" s="51">
        <f>_xlfn.RANK.EQ(TabSLS[[#This Row],[:31]],TabSLS[[:1]:[:37]],0)</f>
        <v>156</v>
      </c>
      <c r="BF12" s="51">
        <f>_xlfn.RANK.EQ(TabSLS[[#This Row],[:33]],TabSLS[[:1]:[:37]],0)</f>
        <v>160</v>
      </c>
      <c r="BG12" s="51">
        <f>_xlfn.RANK.EQ(TabSLS[[#This Row],[:35]],TabSLS[[:1]:[:37]],0)</f>
        <v>164</v>
      </c>
      <c r="BH12" s="52">
        <f>_xlfn.RANK.EQ(TabSLS[[#This Row],[:37]],TabSLS[[:1]:[:37]],0)</f>
        <v>168</v>
      </c>
      <c r="BI12" s="53" t="str">
        <f>IF(TabSLS[[#This Row],[R1]]&lt;=Sitze_Ausschuss,IF(TabSLS[[#This Row],[R1]]+COUNTIF(TabSLS[[R1]:[R37]],TabSLS[[#This Row],[R1]])-1&lt;=Sitze_Ausschuss,"SITZ","PATT"),"")</f>
        <v>PATT</v>
      </c>
      <c r="BJ12" s="54" t="str">
        <f>IF(TabSLS[[#This Row],[R3]]&lt;=Sitze_Ausschuss,IF(TabSLS[[#This Row],[R3]]+COUNTIF(TabSLS[[R1]:[R37]],TabSLS[[#This Row],[R3]])-1&lt;=Sitze_Ausschuss,"SITZ","PATT"),"")</f>
        <v/>
      </c>
      <c r="BK12" s="54" t="str">
        <f>IF(TabSLS[[#This Row],[R5]]&lt;=Sitze_Ausschuss,IF(TabSLS[[#This Row],[R5]]+COUNTIF(TabSLS[[R1]:[R37]],TabSLS[[#This Row],[R5]])-1&lt;=Sitze_Ausschuss,"SITZ","PATT"),"")</f>
        <v/>
      </c>
      <c r="BL12" s="54" t="str">
        <f>IF(TabSLS[[#This Row],[R7]]&lt;=Sitze_Ausschuss,IF(TabSLS[[#This Row],[R7]]+COUNTIF(TabSLS[[R1]:[R37]],TabSLS[[#This Row],[R7]])-1&lt;=Sitze_Ausschuss,"SITZ","PATT"),"")</f>
        <v/>
      </c>
      <c r="BM12" s="54" t="str">
        <f>IF(TabSLS[[#This Row],[R9]]&lt;=Sitze_Ausschuss,IF(TabSLS[[#This Row],[R9]]+COUNTIF(TabSLS[[R1]:[R37]],TabSLS[[#This Row],[R9]])-1&lt;=Sitze_Ausschuss,"SITZ","PATT"),"")</f>
        <v/>
      </c>
      <c r="BN12" s="54" t="str">
        <f>IF(TabSLS[[#This Row],[R11]]&lt;=Sitze_Ausschuss,IF(TabSLS[[#This Row],[R11]]+COUNTIF(TabSLS[[R1]:[R37]],TabSLS[[#This Row],[R11]])-1&lt;=Sitze_Ausschuss,"SITZ","PATT"),"")</f>
        <v/>
      </c>
      <c r="BO12" s="54" t="str">
        <f>IF(TabSLS[[#This Row],[R13]]&lt;=Sitze_Ausschuss,IF(TabSLS[[#This Row],[R13]]+COUNTIF(TabSLS[[R1]:[R37]],TabSLS[[#This Row],[R13]])-1&lt;=Sitze_Ausschuss,"SITZ","PATT"),"")</f>
        <v/>
      </c>
      <c r="BP12" s="54" t="str">
        <f>IF(TabSLS[[#This Row],[R15]]&lt;=Sitze_Ausschuss,IF(TabSLS[[#This Row],[R15]]+COUNTIF(TabSLS[[R1]:[R37]],TabSLS[[#This Row],[R15]])-1&lt;=Sitze_Ausschuss,"SITZ","PATT"),"")</f>
        <v/>
      </c>
      <c r="BQ12" s="54" t="str">
        <f>IF(TabSLS[[#This Row],[R17]]&lt;=Sitze_Ausschuss,IF(TabSLS[[#This Row],[R17]]+COUNTIF(TabSLS[[R1]:[R37]],TabSLS[[#This Row],[R17]])-1&lt;=Sitze_Ausschuss,"SITZ","PATT"),"")</f>
        <v/>
      </c>
      <c r="BR12" s="54" t="str">
        <f>IF(TabSLS[[#This Row],[R19]]&lt;=Sitze_Ausschuss,IF(TabSLS[[#This Row],[R19]]+COUNTIF(TabSLS[[R1]:[R37]],TabSLS[[#This Row],[R19]])-1&lt;=Sitze_Ausschuss,"SITZ","PATT"),"")</f>
        <v/>
      </c>
      <c r="BS12" s="54" t="str">
        <f>IF(TabSLS[[#This Row],[R21]]&lt;=Sitze_Ausschuss,IF(TabSLS[[#This Row],[R21]]+COUNTIF(TabSLS[[R1]:[R37]],TabSLS[[#This Row],[R21]])-1&lt;=Sitze_Ausschuss,"SITZ","PATT"),"")</f>
        <v/>
      </c>
      <c r="BT12" s="54" t="str">
        <f>IF(TabSLS[[#This Row],[R23]]&lt;=Sitze_Ausschuss,IF(TabSLS[[#This Row],[R23]]+COUNTIF(TabSLS[[R1]:[R37]],TabSLS[[#This Row],[R23]])-1&lt;=Sitze_Ausschuss,"SITZ","PATT"),"")</f>
        <v/>
      </c>
      <c r="BU12" s="54" t="str">
        <f>IF(TabSLS[[#This Row],[R25]]&lt;=Sitze_Ausschuss,IF(TabSLS[[#This Row],[R25]]+COUNTIF(TabSLS[[R1]:[R37]],TabSLS[[#This Row],[R25]])-1&lt;=Sitze_Ausschuss,"SITZ","PATT"),"")</f>
        <v/>
      </c>
      <c r="BV12" s="54" t="str">
        <f>IF(TabSLS[[#This Row],[R27]]&lt;=Sitze_Ausschuss,IF(TabSLS[[#This Row],[R27]]+COUNTIF(TabSLS[[R1]:[R37]],TabSLS[[#This Row],[R27]])-1&lt;=Sitze_Ausschuss,"SITZ","PATT"),"")</f>
        <v/>
      </c>
      <c r="BW12" s="54" t="str">
        <f>IF(TabSLS[[#This Row],[R29]]&lt;=Sitze_Ausschuss,IF(TabSLS[[#This Row],[R29]]+COUNTIF(TabSLS[[R1]:[R37]],TabSLS[[#This Row],[R29]])-1&lt;=Sitze_Ausschuss,"SITZ","PATT"),"")</f>
        <v/>
      </c>
      <c r="BX12" s="54" t="str">
        <f>IF(TabSLS[[#This Row],[R31]]&lt;=Sitze_Ausschuss,IF(TabSLS[[#This Row],[R31]]+COUNTIF(TabSLS[[R1]:[R37]],TabSLS[[#This Row],[R31]])-1&lt;=Sitze_Ausschuss,"SITZ","PATT"),"")</f>
        <v/>
      </c>
      <c r="BY12" s="54" t="str">
        <f>IF(TabSLS[[#This Row],[R33]]&lt;=Sitze_Ausschuss,IF(TabSLS[[#This Row],[R33]]+COUNTIF(TabSLS[[R1]:[R37]],TabSLS[[#This Row],[R33]])-1&lt;=Sitze_Ausschuss,"SITZ","PATT"),"")</f>
        <v/>
      </c>
      <c r="BZ12" s="54" t="str">
        <f>IF(TabSLS[[#This Row],[R35]]&lt;=Sitze_Ausschuss,IF(TabSLS[[#This Row],[R35]]+COUNTIF(TabSLS[[R1]:[R37]],TabSLS[[#This Row],[R35]])-1&lt;=Sitze_Ausschuss,"SITZ","PATT"),"")</f>
        <v/>
      </c>
      <c r="CA12" s="55" t="str">
        <f>IF(TabSLS[[#This Row],[R37]]&lt;=Sitze_Ausschuss,IF(TabSLS[[#This Row],[R37]]+COUNTIF(TabSLS[[R1]:[R37]],TabSLS[[#This Row],[R37]])-1&lt;=Sitze_Ausschuss,"SITZ","PATT"),"")</f>
        <v/>
      </c>
      <c r="CB12" s="56" t="b">
        <f>COUNTIF(TabSLS[[#This Row],[SP1]:[SP37]],"PATT")&gt;0</f>
        <v>1</v>
      </c>
      <c r="CC12" s="42">
        <f>IF(TabSLS[[#This Row],[Patt?]],(Sitze_Ausschuss-SUM(TabSLS[Sitze]))/TabSLS[[#Totals],[Patt?]],0)</f>
        <v>0.33333333333333331</v>
      </c>
      <c r="CD12" s="57">
        <f>TabSLS[[#This Row],[Patt?]]*IF(Pattaufloesung="Stimmen",TabPatt[[#This Row],[Stimmen]],TabPatt[[#This Row],[Loserfolg]])*1</f>
        <v>0</v>
      </c>
      <c r="CE12" s="58" t="b">
        <f>_xlfn.RANK.EQ(TabSLS[[#This Row],[Stimmen Gelost]],TabSLS[Stimmen Gelost],0)&lt;=(Sitze_Ausschuss-SUM(TabSLS[Sitze]))</f>
        <v>1</v>
      </c>
      <c r="CF12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2" s="3"/>
      <c r="CH12" s="45">
        <f>COUNTIF(TabDH[[#This Row],[SP1]:[SP19]],"SITZ")</f>
        <v>0</v>
      </c>
      <c r="CI12" s="46">
        <f>IF(TabDH[[#This Row],[Patt]],IF(Pattaufloesung="Los-Chance",TabDH[[#This Row],[Los Chance]],TabDH[[#This Row],[Pattgewinn]]+0),0)</f>
        <v>0</v>
      </c>
      <c r="CJ12" s="47">
        <f>Grunddaten[[#This Row],[Sitze im Hauptorgan]]/_xlfn.NUMBERVALUE(MID(INDEX(TabDH[[#Headers],[:1]:[:19]],COLUMN()-COLUMN(TabDH[[#Headers],[:1]])+1),2,3))</f>
        <v>1</v>
      </c>
      <c r="CK12" s="48">
        <f>Grunddaten[[#This Row],[Sitze im Hauptorgan]]/_xlfn.NUMBERVALUE(MID(INDEX(TabDH[[#Headers],[:1]:[:19]],COLUMN()-COLUMN(TabDH[[#Headers],[:1]])+1),2,3))</f>
        <v>0.5</v>
      </c>
      <c r="CL12" s="48">
        <f>Grunddaten[[#This Row],[Sitze im Hauptorgan]]/_xlfn.NUMBERVALUE(MID(INDEX(TabDH[[#Headers],[:1]:[:19]],COLUMN()-COLUMN(TabDH[[#Headers],[:1]])+1),2,3))</f>
        <v>0.33333333333333331</v>
      </c>
      <c r="CM12" s="48">
        <f>Grunddaten[[#This Row],[Sitze im Hauptorgan]]/_xlfn.NUMBERVALUE(MID(INDEX(TabDH[[#Headers],[:1]:[:19]],COLUMN()-COLUMN(TabDH[[#Headers],[:1]])+1),2,3))</f>
        <v>0.25</v>
      </c>
      <c r="CN12" s="48">
        <f>Grunddaten[[#This Row],[Sitze im Hauptorgan]]/_xlfn.NUMBERVALUE(MID(INDEX(TabDH[[#Headers],[:1]:[:19]],COLUMN()-COLUMN(TabDH[[#Headers],[:1]])+1),2,3))</f>
        <v>0.2</v>
      </c>
      <c r="CO12" s="48">
        <f>Grunddaten[[#This Row],[Sitze im Hauptorgan]]/_xlfn.NUMBERVALUE(MID(INDEX(TabDH[[#Headers],[:1]:[:19]],COLUMN()-COLUMN(TabDH[[#Headers],[:1]])+1),2,3))</f>
        <v>0.16666666666666666</v>
      </c>
      <c r="CP12" s="48">
        <f>Grunddaten[[#This Row],[Sitze im Hauptorgan]]/_xlfn.NUMBERVALUE(MID(INDEX(TabDH[[#Headers],[:1]:[:19]],COLUMN()-COLUMN(TabDH[[#Headers],[:1]])+1),2,3))</f>
        <v>0.14285714285714285</v>
      </c>
      <c r="CQ12" s="48">
        <f>Grunddaten[[#This Row],[Sitze im Hauptorgan]]/_xlfn.NUMBERVALUE(MID(INDEX(TabDH[[#Headers],[:1]:[:19]],COLUMN()-COLUMN(TabDH[[#Headers],[:1]])+1),2,3))</f>
        <v>0.125</v>
      </c>
      <c r="CR12" s="48">
        <f>Grunddaten[[#This Row],[Sitze im Hauptorgan]]/_xlfn.NUMBERVALUE(MID(INDEX(TabDH[[#Headers],[:1]:[:19]],COLUMN()-COLUMN(TabDH[[#Headers],[:1]])+1),2,3))</f>
        <v>0.1111111111111111</v>
      </c>
      <c r="CS12" s="48">
        <f>Grunddaten[[#This Row],[Sitze im Hauptorgan]]/_xlfn.NUMBERVALUE(MID(INDEX(TabDH[[#Headers],[:1]:[:19]],COLUMN()-COLUMN(TabDH[[#Headers],[:1]])+1),2,3))</f>
        <v>0.1</v>
      </c>
      <c r="CT12" s="48">
        <f>Grunddaten[[#This Row],[Sitze im Hauptorgan]]/_xlfn.NUMBERVALUE(MID(INDEX(TabDH[[#Headers],[:1]:[:19]],COLUMN()-COLUMN(TabDH[[#Headers],[:1]])+1),2,3))</f>
        <v>9.0909090909090912E-2</v>
      </c>
      <c r="CU12" s="48">
        <f>Grunddaten[[#This Row],[Sitze im Hauptorgan]]/_xlfn.NUMBERVALUE(MID(INDEX(TabDH[[#Headers],[:1]:[:19]],COLUMN()-COLUMN(TabDH[[#Headers],[:1]])+1),2,3))</f>
        <v>8.3333333333333329E-2</v>
      </c>
      <c r="CV12" s="48">
        <f>Grunddaten[[#This Row],[Sitze im Hauptorgan]]/_xlfn.NUMBERVALUE(MID(INDEX(TabDH[[#Headers],[:1]:[:19]],COLUMN()-COLUMN(TabDH[[#Headers],[:1]])+1),2,3))</f>
        <v>7.6923076923076927E-2</v>
      </c>
      <c r="CW12" s="48">
        <f>Grunddaten[[#This Row],[Sitze im Hauptorgan]]/_xlfn.NUMBERVALUE(MID(INDEX(TabDH[[#Headers],[:1]:[:19]],COLUMN()-COLUMN(TabDH[[#Headers],[:1]])+1),2,3))</f>
        <v>7.1428571428571425E-2</v>
      </c>
      <c r="CX12" s="48">
        <f>Grunddaten[[#This Row],[Sitze im Hauptorgan]]/_xlfn.NUMBERVALUE(MID(INDEX(TabDH[[#Headers],[:1]:[:19]],COLUMN()-COLUMN(TabDH[[#Headers],[:1]])+1),2,3))</f>
        <v>6.6666666666666666E-2</v>
      </c>
      <c r="CY12" s="48">
        <f>Grunddaten[[#This Row],[Sitze im Hauptorgan]]/_xlfn.NUMBERVALUE(MID(INDEX(TabDH[[#Headers],[:1]:[:19]],COLUMN()-COLUMN(TabDH[[#Headers],[:1]])+1),2,3))</f>
        <v>6.25E-2</v>
      </c>
      <c r="CZ12" s="48">
        <f>Grunddaten[[#This Row],[Sitze im Hauptorgan]]/_xlfn.NUMBERVALUE(MID(INDEX(TabDH[[#Headers],[:1]:[:19]],COLUMN()-COLUMN(TabDH[[#Headers],[:1]])+1),2,3))</f>
        <v>5.8823529411764705E-2</v>
      </c>
      <c r="DA12" s="48">
        <f>Grunddaten[[#This Row],[Sitze im Hauptorgan]]/_xlfn.NUMBERVALUE(MID(INDEX(TabDH[[#Headers],[:1]:[:19]],COLUMN()-COLUMN(TabDH[[#Headers],[:1]])+1),2,3))</f>
        <v>5.5555555555555552E-2</v>
      </c>
      <c r="DB12" s="49">
        <f>Grunddaten[[#This Row],[Sitze im Hauptorgan]]/_xlfn.NUMBERVALUE(MID(INDEX(TabDH[[#Headers],[:1]:[:19]],COLUMN()-COLUMN(TabDH[[#Headers],[:1]])+1),2,3))</f>
        <v>5.2631578947368418E-2</v>
      </c>
      <c r="DC12" s="50">
        <f>_xlfn.RANK.EQ(TabDH[[#This Row],[:1]],TabDH[[:1]:[:19]],0)</f>
        <v>16</v>
      </c>
      <c r="DD12" s="51">
        <f>_xlfn.RANK.EQ(TabDH[[#This Row],[:2]],TabDH[[:1]:[:19]],0)</f>
        <v>40</v>
      </c>
      <c r="DE12" s="51">
        <f>_xlfn.RANK.EQ(TabDH[[#This Row],[:3]],TabDH[[:1]:[:19]],0)</f>
        <v>64</v>
      </c>
      <c r="DF12" s="51">
        <f>_xlfn.RANK.EQ(TabDH[[#This Row],[:4]],TabDH[[:1]:[:19]],0)</f>
        <v>84</v>
      </c>
      <c r="DG12" s="51">
        <f>_xlfn.RANK.EQ(TabDH[[#This Row],[:5]],TabDH[[:1]:[:19]],0)</f>
        <v>97</v>
      </c>
      <c r="DH12" s="51">
        <f>_xlfn.RANK.EQ(TabDH[[#This Row],[:6]],TabDH[[:1]:[:19]],0)</f>
        <v>106</v>
      </c>
      <c r="DI12" s="51">
        <f>_xlfn.RANK.EQ(TabDH[[#This Row],[:7]],TabDH[[:1]:[:19]],0)</f>
        <v>114</v>
      </c>
      <c r="DJ12" s="51">
        <f>_xlfn.RANK.EQ(TabDH[[#This Row],[:8]],TabDH[[:1]:[:19]],0)</f>
        <v>120</v>
      </c>
      <c r="DK12" s="51">
        <f>_xlfn.RANK.EQ(TabDH[[#This Row],[:9]],TabDH[[:1]:[:19]],0)</f>
        <v>126</v>
      </c>
      <c r="DL12" s="51">
        <f>_xlfn.RANK.EQ(TabDH[[#This Row],[:10]],TabDH[[:1]:[:19]],0)</f>
        <v>132</v>
      </c>
      <c r="DM12" s="51">
        <f>_xlfn.RANK.EQ(TabDH[[#This Row],[:11]],TabDH[[:1]:[:19]],0)</f>
        <v>136</v>
      </c>
      <c r="DN12" s="51">
        <f>_xlfn.RANK.EQ(TabDH[[#This Row],[:12]],TabDH[[:1]:[:19]],0)</f>
        <v>140</v>
      </c>
      <c r="DO12" s="51">
        <f>_xlfn.RANK.EQ(TabDH[[#This Row],[:13]],TabDH[[:1]:[:19]],0)</f>
        <v>144</v>
      </c>
      <c r="DP12" s="51">
        <f>_xlfn.RANK.EQ(TabDH[[#This Row],[:14]],TabDH[[:1]:[:19]],0)</f>
        <v>148</v>
      </c>
      <c r="DQ12" s="51">
        <f>_xlfn.RANK.EQ(TabDH[[#This Row],[:15]],TabDH[[:1]:[:19]],0)</f>
        <v>152</v>
      </c>
      <c r="DR12" s="51">
        <f>_xlfn.RANK.EQ(TabDH[[#This Row],[:16]],TabDH[[:1]:[:19]],0)</f>
        <v>156</v>
      </c>
      <c r="DS12" s="51">
        <f>_xlfn.RANK.EQ(TabDH[[#This Row],[:17]],TabDH[[:1]:[:19]],0)</f>
        <v>160</v>
      </c>
      <c r="DT12" s="51">
        <f>_xlfn.RANK.EQ(TabDH[[#This Row],[:18]],TabDH[[:1]:[:19]],0)</f>
        <v>164</v>
      </c>
      <c r="DU12" s="52">
        <f>_xlfn.RANK.EQ(TabDH[[#This Row],[:19]],TabDH[[:1]:[:19]],0)</f>
        <v>168</v>
      </c>
      <c r="DV12" s="53" t="str">
        <f>IF(TabDH[[#This Row],[R1]]&lt;=Sitze_Ausschuss,IF(TabDH[[#This Row],[R1]]+COUNTIF(TabDH[[R1]:[R19]],TabDH[[#This Row],[R1]])-1&lt;=Sitze_Ausschuss,"SITZ","PATT"),"")</f>
        <v/>
      </c>
      <c r="DW12" s="54" t="str">
        <f>IF(TabDH[[#This Row],[R2]]&lt;=Sitze_Ausschuss,IF(TabDH[[#This Row],[R2]]+COUNTIF(TabDH[[R1]:[R19]],TabDH[[#This Row],[R2]])-1&lt;=Sitze_Ausschuss,"SITZ","PATT"),"")</f>
        <v/>
      </c>
      <c r="DX12" s="54" t="str">
        <f>IF(TabDH[[#This Row],[R3]]&lt;=Sitze_Ausschuss,IF(TabDH[[#This Row],[R3]]+COUNTIF(TabDH[[R1]:[R19]],TabDH[[#This Row],[R3]])-1&lt;=Sitze_Ausschuss,"SITZ","PATT"),"")</f>
        <v/>
      </c>
      <c r="DY12" s="54" t="str">
        <f>IF(TabDH[[#This Row],[R4]]&lt;=Sitze_Ausschuss,IF(TabDH[[#This Row],[R4]]+COUNTIF(TabDH[[R1]:[R19]],TabDH[[#This Row],[R4]])-1&lt;=Sitze_Ausschuss,"SITZ","PATT"),"")</f>
        <v/>
      </c>
      <c r="DZ12" s="54" t="str">
        <f>IF(TabDH[[#This Row],[R5]]&lt;=Sitze_Ausschuss,IF(TabDH[[#This Row],[R5]]+COUNTIF(TabDH[[R1]:[R19]],TabDH[[#This Row],[R5]])-1&lt;=Sitze_Ausschuss,"SITZ","PATT"),"")</f>
        <v/>
      </c>
      <c r="EA12" s="54" t="str">
        <f>IF(TabDH[[#This Row],[R6]]&lt;=Sitze_Ausschuss,IF(TabDH[[#This Row],[R6]]+COUNTIF(TabDH[[R1]:[R19]],TabDH[[#This Row],[R6]])-1&lt;=Sitze_Ausschuss,"SITZ","PATT"),"")</f>
        <v/>
      </c>
      <c r="EB12" s="54" t="str">
        <f>IF(TabDH[[#This Row],[R7]]&lt;=Sitze_Ausschuss,IF(TabDH[[#This Row],[R7]]+COUNTIF(TabDH[[R1]:[R19]],TabDH[[#This Row],[R7]])-1&lt;=Sitze_Ausschuss,"SITZ","PATT"),"")</f>
        <v/>
      </c>
      <c r="EC12" s="54" t="str">
        <f>IF(TabDH[[#This Row],[R8]]&lt;=Sitze_Ausschuss,IF(TabDH[[#This Row],[R8]]+COUNTIF(TabDH[[R1]:[R19]],TabDH[[#This Row],[R8]])-1&lt;=Sitze_Ausschuss,"SITZ","PATT"),"")</f>
        <v/>
      </c>
      <c r="ED12" s="54" t="str">
        <f>IF(TabDH[[#This Row],[R9]]&lt;=Sitze_Ausschuss,IF(TabDH[[#This Row],[R9]]+COUNTIF(TabDH[[R1]:[R19]],TabDH[[#This Row],[R9]])-1&lt;=Sitze_Ausschuss,"SITZ","PATT"),"")</f>
        <v/>
      </c>
      <c r="EE12" s="54" t="str">
        <f>IF(TabDH[[#This Row],[R10]]&lt;=Sitze_Ausschuss,IF(TabDH[[#This Row],[R10]]+COUNTIF(TabDH[[R1]:[R19]],TabDH[[#This Row],[R10]])-1&lt;=Sitze_Ausschuss,"SITZ","PATT"),"")</f>
        <v/>
      </c>
      <c r="EF12" s="54" t="str">
        <f>IF(TabDH[[#This Row],[R11]]&lt;=Sitze_Ausschuss,IF(TabDH[[#This Row],[R11]]+COUNTIF(TabDH[[R1]:[R19]],TabDH[[#This Row],[R11]])-1&lt;=Sitze_Ausschuss,"SITZ","PATT"),"")</f>
        <v/>
      </c>
      <c r="EG12" s="54" t="str">
        <f>IF(TabDH[[#This Row],[R12]]&lt;=Sitze_Ausschuss,IF(TabDH[[#This Row],[R12]]+COUNTIF(TabDH[[R1]:[R19]],TabDH[[#This Row],[R12]])-1&lt;=Sitze_Ausschuss,"SITZ","PATT"),"")</f>
        <v/>
      </c>
      <c r="EH12" s="54" t="str">
        <f>IF(TabDH[[#This Row],[R13]]&lt;=Sitze_Ausschuss,IF(TabDH[[#This Row],[R13]]+COUNTIF(TabDH[[R1]:[R19]],TabDH[[#This Row],[R13]])-1&lt;=Sitze_Ausschuss,"SITZ","PATT"),"")</f>
        <v/>
      </c>
      <c r="EI12" s="54" t="str">
        <f>IF(TabDH[[#This Row],[R14]]&lt;=Sitze_Ausschuss,IF(TabDH[[#This Row],[R14]]+COUNTIF(TabDH[[R1]:[R19]],TabDH[[#This Row],[R14]])-1&lt;=Sitze_Ausschuss,"SITZ","PATT"),"")</f>
        <v/>
      </c>
      <c r="EJ12" s="54" t="str">
        <f>IF(TabDH[[#This Row],[R15]]&lt;=Sitze_Ausschuss,IF(TabDH[[#This Row],[R15]]+COUNTIF(TabDH[[R1]:[R19]],TabDH[[#This Row],[R15]])-1&lt;=Sitze_Ausschuss,"SITZ","PATT"),"")</f>
        <v/>
      </c>
      <c r="EK12" s="54" t="str">
        <f>IF(TabDH[[#This Row],[R16]]&lt;=Sitze_Ausschuss,IF(TabDH[[#This Row],[R16]]+COUNTIF(TabDH[[R1]:[R19]],TabDH[[#This Row],[R16]])-1&lt;=Sitze_Ausschuss,"SITZ","PATT"),"")</f>
        <v/>
      </c>
      <c r="EL12" s="54" t="str">
        <f>IF(TabDH[[#This Row],[R17]]&lt;=Sitze_Ausschuss,IF(TabDH[[#This Row],[R17]]+COUNTIF(TabDH[[R1]:[R19]],TabDH[[#This Row],[R17]])-1&lt;=Sitze_Ausschuss,"SITZ","PATT"),"")</f>
        <v/>
      </c>
      <c r="EM12" s="54" t="str">
        <f>IF(TabDH[[#This Row],[R18]]&lt;=Sitze_Ausschuss,IF(TabDH[[#This Row],[R18]]+COUNTIF(TabDH[[R1]:[R19]],TabDH[[#This Row],[R18]])-1&lt;=Sitze_Ausschuss,"SITZ","PATT"),"")</f>
        <v/>
      </c>
      <c r="EN12" s="54" t="str">
        <f>IF(TabDH[[#This Row],[R19]]&lt;=Sitze_Ausschuss,IF(TabDH[[#This Row],[R19]]+COUNTIF(TabDH[[R1]:[R19]],TabDH[[#This Row],[R19]])-1&lt;=Sitze_Ausschuss,"SITZ","PATT"),"")</f>
        <v/>
      </c>
      <c r="EO12" s="56" t="b">
        <f>COUNTIF(TabDH[[#This Row],[SP1]:[SP19]],"PATT")&gt;0</f>
        <v>0</v>
      </c>
      <c r="EP12" s="42">
        <f>IF(TabDH[[#This Row],[Patt]],(Sitze_Ausschuss-SUM(TabDH[Sitze]))/TabDH[[#Totals],[Patt]],0)</f>
        <v>0</v>
      </c>
      <c r="EQ12" s="57">
        <f>TabDH[[#This Row],[Patt]]*IF(Pattaufloesung="Stimmen",TabPatt[[#This Row],[Stimmen]],TabPatt[[#This Row],[Loserfolg]])*1</f>
        <v>0</v>
      </c>
      <c r="ER12" s="58" t="b">
        <f>_xlfn.RANK.EQ(TabDH[[#This Row],[Stimmen/Gelost]],TabDH[Stimmen/Gelost],0)&lt;=(Sitze_Ausschuss-SUM(TabDH[Sitze]))</f>
        <v>1</v>
      </c>
      <c r="ES12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2" s="3"/>
      <c r="EU12" s="60" t="str">
        <f>Grunddaten[[#This Row],[Partei/Wählergruppe]]&amp;""</f>
        <v>FDP</v>
      </c>
      <c r="EV12" s="85">
        <v>1234</v>
      </c>
      <c r="EW12" s="66" t="b">
        <v>0</v>
      </c>
      <c r="EX12" s="3"/>
      <c r="EY12" s="3"/>
      <c r="EZ12" s="3"/>
      <c r="FA12" s="3"/>
      <c r="FB12" s="3"/>
    </row>
    <row r="13" spans="1:164" x14ac:dyDescent="0.25">
      <c r="A13" s="3"/>
      <c r="B13" s="67" t="s">
        <v>160</v>
      </c>
      <c r="C13" s="85">
        <v>1</v>
      </c>
      <c r="D13" s="83">
        <f>Grunddaten[[#This Row],[Sitze im Hauptorgan]]/Grunddaten[[#Totals],[Sitze im Hauptorgan]]*Sitze_Ausschuss</f>
        <v>0.45833333333333331</v>
      </c>
      <c r="E13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 oder 1</v>
      </c>
      <c r="F13" s="61" t="str">
        <f t="shared" si="0"/>
        <v>OK</v>
      </c>
      <c r="G13" s="62" t="str">
        <f>IF(TabSLS[[#This Row],[QK verletzt]],"NOK","OK")</f>
        <v>OK</v>
      </c>
      <c r="H13" s="63" t="str">
        <f>IF(TabDH[[#This Row],[QK verletzt]],"NOK","OK")</f>
        <v>OK</v>
      </c>
      <c r="I13" s="3"/>
      <c r="J13" s="37">
        <f>TabHN[[#This Row],[S ganz]]+IF(NOT(TabHN[[#This Row],[Patt]]),TabHN[[#This Row],[Restsitz]],0)</f>
        <v>0</v>
      </c>
      <c r="K13" s="38">
        <f>IF(TabHN[[#This Row],[Patt]],IF(Pattaufloesung="Los-Chance",TabHN[[#This Row],[Los Chance]],TabHN[[#This Row],[Pattgewinn]]+0),0)</f>
        <v>0.5</v>
      </c>
      <c r="L13" s="39">
        <f>INT(Grunddaten[[#This Row],[Proporzgenaue Zahl Ausschuss]])</f>
        <v>0</v>
      </c>
      <c r="M13" s="40">
        <f>ROUND(Grunddaten[[#This Row],[Proporzgenaue Zahl Ausschuss]]-TabHN[[#This Row],[S ganz]],4)</f>
        <v>0.45829999999999999</v>
      </c>
      <c r="N13" s="41">
        <f>_xlfn.RANK.EQ(TabHN[[#This Row],[S Rest]],TabHN[S Rest],0)</f>
        <v>4</v>
      </c>
      <c r="O13" s="39">
        <f>IF(TabHN[[#This Row],[Rng Rest]]&lt;=TabHN[[#Totals],[S Rest]],1,0)</f>
        <v>1</v>
      </c>
      <c r="P13" s="39" t="b">
        <f>AND(TabHN[[#This Row],[Restsitz]]=1,(COUNTIF(TabHN[Rng Rest],TabHN[[#This Row],[Rng Rest]])+TabHN[[#This Row],[Rng Rest]]-1)&gt;TabHN[[#Totals],[S Rest]])</f>
        <v>1</v>
      </c>
      <c r="Q13" s="42">
        <f>IF(TabHN[[#This Row],[Patt]],(Sitze_Ausschuss-SUM(TabHN[Sitze]))/TabHN[[#Totals],[Patt]],0)</f>
        <v>0.5</v>
      </c>
      <c r="R13" s="43">
        <f>TabHN[[#This Row],[Patt]]*IF(Pattaufloesung="Stimmen",TabPatt[[#This Row],[Stimmen]],TabPatt[[#This Row],[Loserfolg]])*1</f>
        <v>0</v>
      </c>
      <c r="S13" s="44" t="b">
        <f>_xlfn.RANK.EQ(TabHN[[#This Row],[Stimmen/Gelost]],TabHN[Stimmen/Gelost],0)&lt;=(Sitze_Ausschuss-SUM(TabHN[Sitze]))</f>
        <v>1</v>
      </c>
      <c r="T13" s="3"/>
      <c r="U13" s="45">
        <f>COUNTIF(TabSLS[[#This Row],[SP1]:[SP37]],"SITZ")</f>
        <v>0</v>
      </c>
      <c r="V13" s="46">
        <f>IF(TabSLS[[#This Row],[Patt?]],IF(Pattaufloesung="Los-Chance",TabSLS[[#This Row],[Los Chance]],TabSLS[[#This Row],[Pattgewinn]]+0),0)</f>
        <v>0.33333333333333331</v>
      </c>
      <c r="W13" s="47">
        <f>Grunddaten[[#This Row],[Sitze im Hauptorgan]]/_xlfn.NUMBERVALUE(MID(INDEX(TabSLS[[#Headers],[:1]:[:37]],COLUMN()-COLUMN(TabSLS[[#Headers],[:1]])+1),2,3))</f>
        <v>1</v>
      </c>
      <c r="X13" s="48">
        <f>Grunddaten[[#This Row],[Sitze im Hauptorgan]]/_xlfn.NUMBERVALUE(MID(INDEX(TabSLS[[#Headers],[:1]:[:37]],COLUMN()-COLUMN(TabSLS[[#Headers],[:1]])+1),2,3))</f>
        <v>0.33333333333333331</v>
      </c>
      <c r="Y13" s="48">
        <f>Grunddaten[[#This Row],[Sitze im Hauptorgan]]/_xlfn.NUMBERVALUE(MID(INDEX(TabSLS[[#Headers],[:1]:[:37]],COLUMN()-COLUMN(TabSLS[[#Headers],[:1]])+1),2,3))</f>
        <v>0.2</v>
      </c>
      <c r="Z13" s="48">
        <f>Grunddaten[[#This Row],[Sitze im Hauptorgan]]/_xlfn.NUMBERVALUE(MID(INDEX(TabSLS[[#Headers],[:1]:[:37]],COLUMN()-COLUMN(TabSLS[[#Headers],[:1]])+1),2,3))</f>
        <v>0.14285714285714285</v>
      </c>
      <c r="AA13" s="48">
        <f>Grunddaten[[#This Row],[Sitze im Hauptorgan]]/_xlfn.NUMBERVALUE(MID(INDEX(TabSLS[[#Headers],[:1]:[:37]],COLUMN()-COLUMN(TabSLS[[#Headers],[:1]])+1),2,3))</f>
        <v>0.1111111111111111</v>
      </c>
      <c r="AB13" s="48">
        <f>Grunddaten[[#This Row],[Sitze im Hauptorgan]]/_xlfn.NUMBERVALUE(MID(INDEX(TabSLS[[#Headers],[:1]:[:37]],COLUMN()-COLUMN(TabSLS[[#Headers],[:1]])+1),2,3))</f>
        <v>9.0909090909090912E-2</v>
      </c>
      <c r="AC13" s="48">
        <f>Grunddaten[[#This Row],[Sitze im Hauptorgan]]/_xlfn.NUMBERVALUE(MID(INDEX(TabSLS[[#Headers],[:1]:[:37]],COLUMN()-COLUMN(TabSLS[[#Headers],[:1]])+1),2,3))</f>
        <v>7.6923076923076927E-2</v>
      </c>
      <c r="AD13" s="48">
        <f>Grunddaten[[#This Row],[Sitze im Hauptorgan]]/_xlfn.NUMBERVALUE(MID(INDEX(TabSLS[[#Headers],[:1]:[:37]],COLUMN()-COLUMN(TabSLS[[#Headers],[:1]])+1),2,3))</f>
        <v>6.6666666666666666E-2</v>
      </c>
      <c r="AE13" s="48">
        <f>Grunddaten[[#This Row],[Sitze im Hauptorgan]]/_xlfn.NUMBERVALUE(MID(INDEX(TabSLS[[#Headers],[:1]:[:37]],COLUMN()-COLUMN(TabSLS[[#Headers],[:1]])+1),2,3))</f>
        <v>5.8823529411764705E-2</v>
      </c>
      <c r="AF13" s="48">
        <f>Grunddaten[[#This Row],[Sitze im Hauptorgan]]/_xlfn.NUMBERVALUE(MID(INDEX(TabSLS[[#Headers],[:1]:[:37]],COLUMN()-COLUMN(TabSLS[[#Headers],[:1]])+1),2,3))</f>
        <v>5.2631578947368418E-2</v>
      </c>
      <c r="AG13" s="48">
        <f>Grunddaten[[#This Row],[Sitze im Hauptorgan]]/_xlfn.NUMBERVALUE(MID(INDEX(TabSLS[[#Headers],[:1]:[:37]],COLUMN()-COLUMN(TabSLS[[#Headers],[:1]])+1),2,3))</f>
        <v>4.7619047619047616E-2</v>
      </c>
      <c r="AH13" s="48">
        <f>Grunddaten[[#This Row],[Sitze im Hauptorgan]]/_xlfn.NUMBERVALUE(MID(INDEX(TabSLS[[#Headers],[:1]:[:37]],COLUMN()-COLUMN(TabSLS[[#Headers],[:1]])+1),2,3))</f>
        <v>4.3478260869565216E-2</v>
      </c>
      <c r="AI13" s="48">
        <f>Grunddaten[[#This Row],[Sitze im Hauptorgan]]/_xlfn.NUMBERVALUE(MID(INDEX(TabSLS[[#Headers],[:1]:[:37]],COLUMN()-COLUMN(TabSLS[[#Headers],[:1]])+1),2,3))</f>
        <v>0.04</v>
      </c>
      <c r="AJ13" s="48">
        <f>Grunddaten[[#This Row],[Sitze im Hauptorgan]]/_xlfn.NUMBERVALUE(MID(INDEX(TabSLS[[#Headers],[:1]:[:37]],COLUMN()-COLUMN(TabSLS[[#Headers],[:1]])+1),2,3))</f>
        <v>3.7037037037037035E-2</v>
      </c>
      <c r="AK13" s="48">
        <f>Grunddaten[[#This Row],[Sitze im Hauptorgan]]/_xlfn.NUMBERVALUE(MID(INDEX(TabSLS[[#Headers],[:1]:[:37]],COLUMN()-COLUMN(TabSLS[[#Headers],[:1]])+1),2,3))</f>
        <v>3.4482758620689655E-2</v>
      </c>
      <c r="AL13" s="48">
        <f>Grunddaten[[#This Row],[Sitze im Hauptorgan]]/_xlfn.NUMBERVALUE(MID(INDEX(TabSLS[[#Headers],[:1]:[:37]],COLUMN()-COLUMN(TabSLS[[#Headers],[:1]])+1),2,3))</f>
        <v>3.2258064516129031E-2</v>
      </c>
      <c r="AM13" s="48">
        <f>Grunddaten[[#This Row],[Sitze im Hauptorgan]]/_xlfn.NUMBERVALUE(MID(INDEX(TabSLS[[#Headers],[:1]:[:37]],COLUMN()-COLUMN(TabSLS[[#Headers],[:1]])+1),2,3))</f>
        <v>3.0303030303030304E-2</v>
      </c>
      <c r="AN13" s="48">
        <f>Grunddaten[[#This Row],[Sitze im Hauptorgan]]/_xlfn.NUMBERVALUE(MID(INDEX(TabSLS[[#Headers],[:1]:[:37]],COLUMN()-COLUMN(TabSLS[[#Headers],[:1]])+1),2,3))</f>
        <v>2.8571428571428571E-2</v>
      </c>
      <c r="AO13" s="49">
        <f>Grunddaten[[#This Row],[Sitze im Hauptorgan]]/_xlfn.NUMBERVALUE(MID(INDEX(TabSLS[[#Headers],[:1]:[:37]],COLUMN()-COLUMN(TabSLS[[#Headers],[:1]])+1),2,3))</f>
        <v>2.7027027027027029E-2</v>
      </c>
      <c r="AP13" s="50">
        <f>_xlfn.RANK.EQ(TabSLS[[#This Row],[:1]],TabSLS[[:1]:[:37]],0)</f>
        <v>10</v>
      </c>
      <c r="AQ13" s="51">
        <f>_xlfn.RANK.EQ(TabSLS[[#This Row],[:3]],TabSLS[[:1]:[:37]],0)</f>
        <v>34</v>
      </c>
      <c r="AR13" s="51">
        <f>_xlfn.RANK.EQ(TabSLS[[#This Row],[:5]],TabSLS[[:1]:[:37]],0)</f>
        <v>58</v>
      </c>
      <c r="AS13" s="51">
        <f>_xlfn.RANK.EQ(TabSLS[[#This Row],[:7]],TabSLS[[:1]:[:37]],0)</f>
        <v>80</v>
      </c>
      <c r="AT13" s="51">
        <f>_xlfn.RANK.EQ(TabSLS[[#This Row],[:9]],TabSLS[[:1]:[:37]],0)</f>
        <v>95</v>
      </c>
      <c r="AU13" s="51">
        <f>_xlfn.RANK.EQ(TabSLS[[#This Row],[:11]],TabSLS[[:1]:[:37]],0)</f>
        <v>105</v>
      </c>
      <c r="AV13" s="51">
        <f>_xlfn.RANK.EQ(TabSLS[[#This Row],[:13]],TabSLS[[:1]:[:37]],0)</f>
        <v>114</v>
      </c>
      <c r="AW13" s="51">
        <f>_xlfn.RANK.EQ(TabSLS[[#This Row],[:15]],TabSLS[[:1]:[:37]],0)</f>
        <v>120</v>
      </c>
      <c r="AX13" s="51">
        <f>_xlfn.RANK.EQ(TabSLS[[#This Row],[:17]],TabSLS[[:1]:[:37]],0)</f>
        <v>126</v>
      </c>
      <c r="AY13" s="51">
        <f>_xlfn.RANK.EQ(TabSLS[[#This Row],[:19]],TabSLS[[:1]:[:37]],0)</f>
        <v>132</v>
      </c>
      <c r="AZ13" s="51">
        <f>_xlfn.RANK.EQ(TabSLS[[#This Row],[:21]],TabSLS[[:1]:[:37]],0)</f>
        <v>136</v>
      </c>
      <c r="BA13" s="51">
        <f>_xlfn.RANK.EQ(TabSLS[[#This Row],[:23]],TabSLS[[:1]:[:37]],0)</f>
        <v>140</v>
      </c>
      <c r="BB13" s="51">
        <f>_xlfn.RANK.EQ(TabSLS[[#This Row],[:25]],TabSLS[[:1]:[:37]],0)</f>
        <v>144</v>
      </c>
      <c r="BC13" s="51">
        <f>_xlfn.RANK.EQ(TabSLS[[#This Row],[:27]],TabSLS[[:1]:[:37]],0)</f>
        <v>148</v>
      </c>
      <c r="BD13" s="51">
        <f>_xlfn.RANK.EQ(TabSLS[[#This Row],[:29]],TabSLS[[:1]:[:37]],0)</f>
        <v>152</v>
      </c>
      <c r="BE13" s="51">
        <f>_xlfn.RANK.EQ(TabSLS[[#This Row],[:31]],TabSLS[[:1]:[:37]],0)</f>
        <v>156</v>
      </c>
      <c r="BF13" s="51">
        <f>_xlfn.RANK.EQ(TabSLS[[#This Row],[:33]],TabSLS[[:1]:[:37]],0)</f>
        <v>160</v>
      </c>
      <c r="BG13" s="51">
        <f>_xlfn.RANK.EQ(TabSLS[[#This Row],[:35]],TabSLS[[:1]:[:37]],0)</f>
        <v>164</v>
      </c>
      <c r="BH13" s="52">
        <f>_xlfn.RANK.EQ(TabSLS[[#This Row],[:37]],TabSLS[[:1]:[:37]],0)</f>
        <v>168</v>
      </c>
      <c r="BI13" s="53" t="str">
        <f>IF(TabSLS[[#This Row],[R1]]&lt;=Sitze_Ausschuss,IF(TabSLS[[#This Row],[R1]]+COUNTIF(TabSLS[[R1]:[R37]],TabSLS[[#This Row],[R1]])-1&lt;=Sitze_Ausschuss,"SITZ","PATT"),"")</f>
        <v>PATT</v>
      </c>
      <c r="BJ13" s="54" t="str">
        <f>IF(TabSLS[[#This Row],[R3]]&lt;=Sitze_Ausschuss,IF(TabSLS[[#This Row],[R3]]+COUNTIF(TabSLS[[R1]:[R37]],TabSLS[[#This Row],[R3]])-1&lt;=Sitze_Ausschuss,"SITZ","PATT"),"")</f>
        <v/>
      </c>
      <c r="BK13" s="54" t="str">
        <f>IF(TabSLS[[#This Row],[R5]]&lt;=Sitze_Ausschuss,IF(TabSLS[[#This Row],[R5]]+COUNTIF(TabSLS[[R1]:[R37]],TabSLS[[#This Row],[R5]])-1&lt;=Sitze_Ausschuss,"SITZ","PATT"),"")</f>
        <v/>
      </c>
      <c r="BL13" s="54" t="str">
        <f>IF(TabSLS[[#This Row],[R7]]&lt;=Sitze_Ausschuss,IF(TabSLS[[#This Row],[R7]]+COUNTIF(TabSLS[[R1]:[R37]],TabSLS[[#This Row],[R7]])-1&lt;=Sitze_Ausschuss,"SITZ","PATT"),"")</f>
        <v/>
      </c>
      <c r="BM13" s="54" t="str">
        <f>IF(TabSLS[[#This Row],[R9]]&lt;=Sitze_Ausschuss,IF(TabSLS[[#This Row],[R9]]+COUNTIF(TabSLS[[R1]:[R37]],TabSLS[[#This Row],[R9]])-1&lt;=Sitze_Ausschuss,"SITZ","PATT"),"")</f>
        <v/>
      </c>
      <c r="BN13" s="54" t="str">
        <f>IF(TabSLS[[#This Row],[R11]]&lt;=Sitze_Ausschuss,IF(TabSLS[[#This Row],[R11]]+COUNTIF(TabSLS[[R1]:[R37]],TabSLS[[#This Row],[R11]])-1&lt;=Sitze_Ausschuss,"SITZ","PATT"),"")</f>
        <v/>
      </c>
      <c r="BO13" s="54" t="str">
        <f>IF(TabSLS[[#This Row],[R13]]&lt;=Sitze_Ausschuss,IF(TabSLS[[#This Row],[R13]]+COUNTIF(TabSLS[[R1]:[R37]],TabSLS[[#This Row],[R13]])-1&lt;=Sitze_Ausschuss,"SITZ","PATT"),"")</f>
        <v/>
      </c>
      <c r="BP13" s="54" t="str">
        <f>IF(TabSLS[[#This Row],[R15]]&lt;=Sitze_Ausschuss,IF(TabSLS[[#This Row],[R15]]+COUNTIF(TabSLS[[R1]:[R37]],TabSLS[[#This Row],[R15]])-1&lt;=Sitze_Ausschuss,"SITZ","PATT"),"")</f>
        <v/>
      </c>
      <c r="BQ13" s="54" t="str">
        <f>IF(TabSLS[[#This Row],[R17]]&lt;=Sitze_Ausschuss,IF(TabSLS[[#This Row],[R17]]+COUNTIF(TabSLS[[R1]:[R37]],TabSLS[[#This Row],[R17]])-1&lt;=Sitze_Ausschuss,"SITZ","PATT"),"")</f>
        <v/>
      </c>
      <c r="BR13" s="54" t="str">
        <f>IF(TabSLS[[#This Row],[R19]]&lt;=Sitze_Ausschuss,IF(TabSLS[[#This Row],[R19]]+COUNTIF(TabSLS[[R1]:[R37]],TabSLS[[#This Row],[R19]])-1&lt;=Sitze_Ausschuss,"SITZ","PATT"),"")</f>
        <v/>
      </c>
      <c r="BS13" s="54" t="str">
        <f>IF(TabSLS[[#This Row],[R21]]&lt;=Sitze_Ausschuss,IF(TabSLS[[#This Row],[R21]]+COUNTIF(TabSLS[[R1]:[R37]],TabSLS[[#This Row],[R21]])-1&lt;=Sitze_Ausschuss,"SITZ","PATT"),"")</f>
        <v/>
      </c>
      <c r="BT13" s="54" t="str">
        <f>IF(TabSLS[[#This Row],[R23]]&lt;=Sitze_Ausschuss,IF(TabSLS[[#This Row],[R23]]+COUNTIF(TabSLS[[R1]:[R37]],TabSLS[[#This Row],[R23]])-1&lt;=Sitze_Ausschuss,"SITZ","PATT"),"")</f>
        <v/>
      </c>
      <c r="BU13" s="54" t="str">
        <f>IF(TabSLS[[#This Row],[R25]]&lt;=Sitze_Ausschuss,IF(TabSLS[[#This Row],[R25]]+COUNTIF(TabSLS[[R1]:[R37]],TabSLS[[#This Row],[R25]])-1&lt;=Sitze_Ausschuss,"SITZ","PATT"),"")</f>
        <v/>
      </c>
      <c r="BV13" s="54" t="str">
        <f>IF(TabSLS[[#This Row],[R27]]&lt;=Sitze_Ausschuss,IF(TabSLS[[#This Row],[R27]]+COUNTIF(TabSLS[[R1]:[R37]],TabSLS[[#This Row],[R27]])-1&lt;=Sitze_Ausschuss,"SITZ","PATT"),"")</f>
        <v/>
      </c>
      <c r="BW13" s="54" t="str">
        <f>IF(TabSLS[[#This Row],[R29]]&lt;=Sitze_Ausschuss,IF(TabSLS[[#This Row],[R29]]+COUNTIF(TabSLS[[R1]:[R37]],TabSLS[[#This Row],[R29]])-1&lt;=Sitze_Ausschuss,"SITZ","PATT"),"")</f>
        <v/>
      </c>
      <c r="BX13" s="54" t="str">
        <f>IF(TabSLS[[#This Row],[R31]]&lt;=Sitze_Ausschuss,IF(TabSLS[[#This Row],[R31]]+COUNTIF(TabSLS[[R1]:[R37]],TabSLS[[#This Row],[R31]])-1&lt;=Sitze_Ausschuss,"SITZ","PATT"),"")</f>
        <v/>
      </c>
      <c r="BY13" s="54" t="str">
        <f>IF(TabSLS[[#This Row],[R33]]&lt;=Sitze_Ausschuss,IF(TabSLS[[#This Row],[R33]]+COUNTIF(TabSLS[[R1]:[R37]],TabSLS[[#This Row],[R33]])-1&lt;=Sitze_Ausschuss,"SITZ","PATT"),"")</f>
        <v/>
      </c>
      <c r="BZ13" s="54" t="str">
        <f>IF(TabSLS[[#This Row],[R35]]&lt;=Sitze_Ausschuss,IF(TabSLS[[#This Row],[R35]]+COUNTIF(TabSLS[[R1]:[R37]],TabSLS[[#This Row],[R35]])-1&lt;=Sitze_Ausschuss,"SITZ","PATT"),"")</f>
        <v/>
      </c>
      <c r="CA13" s="55" t="str">
        <f>IF(TabSLS[[#This Row],[R37]]&lt;=Sitze_Ausschuss,IF(TabSLS[[#This Row],[R37]]+COUNTIF(TabSLS[[R1]:[R37]],TabSLS[[#This Row],[R37]])-1&lt;=Sitze_Ausschuss,"SITZ","PATT"),"")</f>
        <v/>
      </c>
      <c r="CB13" s="56" t="b">
        <f>COUNTIF(TabSLS[[#This Row],[SP1]:[SP37]],"PATT")&gt;0</f>
        <v>1</v>
      </c>
      <c r="CC13" s="42">
        <f>IF(TabSLS[[#This Row],[Patt?]],(Sitze_Ausschuss-SUM(TabSLS[Sitze]))/TabSLS[[#Totals],[Patt?]],0)</f>
        <v>0.33333333333333331</v>
      </c>
      <c r="CD13" s="57">
        <f>TabSLS[[#This Row],[Patt?]]*IF(Pattaufloesung="Stimmen",TabPatt[[#This Row],[Stimmen]],TabPatt[[#This Row],[Loserfolg]])*1</f>
        <v>0</v>
      </c>
      <c r="CE13" s="58" t="b">
        <f>_xlfn.RANK.EQ(TabSLS[[#This Row],[Stimmen Gelost]],TabSLS[Stimmen Gelost],0)&lt;=(Sitze_Ausschuss-SUM(TabSLS[Sitze]))</f>
        <v>1</v>
      </c>
      <c r="CF13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3" s="3"/>
      <c r="CH13" s="45">
        <f>COUNTIF(TabDH[[#This Row],[SP1]:[SP19]],"SITZ")</f>
        <v>0</v>
      </c>
      <c r="CI13" s="46">
        <f>IF(TabDH[[#This Row],[Patt]],IF(Pattaufloesung="Los-Chance",TabDH[[#This Row],[Los Chance]],TabDH[[#This Row],[Pattgewinn]]+0),0)</f>
        <v>0</v>
      </c>
      <c r="CJ13" s="47">
        <f>Grunddaten[[#This Row],[Sitze im Hauptorgan]]/_xlfn.NUMBERVALUE(MID(INDEX(TabDH[[#Headers],[:1]:[:19]],COLUMN()-COLUMN(TabDH[[#Headers],[:1]])+1),2,3))</f>
        <v>1</v>
      </c>
      <c r="CK13" s="48">
        <f>Grunddaten[[#This Row],[Sitze im Hauptorgan]]/_xlfn.NUMBERVALUE(MID(INDEX(TabDH[[#Headers],[:1]:[:19]],COLUMN()-COLUMN(TabDH[[#Headers],[:1]])+1),2,3))</f>
        <v>0.5</v>
      </c>
      <c r="CL13" s="48">
        <f>Grunddaten[[#This Row],[Sitze im Hauptorgan]]/_xlfn.NUMBERVALUE(MID(INDEX(TabDH[[#Headers],[:1]:[:19]],COLUMN()-COLUMN(TabDH[[#Headers],[:1]])+1),2,3))</f>
        <v>0.33333333333333331</v>
      </c>
      <c r="CM13" s="48">
        <f>Grunddaten[[#This Row],[Sitze im Hauptorgan]]/_xlfn.NUMBERVALUE(MID(INDEX(TabDH[[#Headers],[:1]:[:19]],COLUMN()-COLUMN(TabDH[[#Headers],[:1]])+1),2,3))</f>
        <v>0.25</v>
      </c>
      <c r="CN13" s="48">
        <f>Grunddaten[[#This Row],[Sitze im Hauptorgan]]/_xlfn.NUMBERVALUE(MID(INDEX(TabDH[[#Headers],[:1]:[:19]],COLUMN()-COLUMN(TabDH[[#Headers],[:1]])+1),2,3))</f>
        <v>0.2</v>
      </c>
      <c r="CO13" s="48">
        <f>Grunddaten[[#This Row],[Sitze im Hauptorgan]]/_xlfn.NUMBERVALUE(MID(INDEX(TabDH[[#Headers],[:1]:[:19]],COLUMN()-COLUMN(TabDH[[#Headers],[:1]])+1),2,3))</f>
        <v>0.16666666666666666</v>
      </c>
      <c r="CP13" s="48">
        <f>Grunddaten[[#This Row],[Sitze im Hauptorgan]]/_xlfn.NUMBERVALUE(MID(INDEX(TabDH[[#Headers],[:1]:[:19]],COLUMN()-COLUMN(TabDH[[#Headers],[:1]])+1),2,3))</f>
        <v>0.14285714285714285</v>
      </c>
      <c r="CQ13" s="48">
        <f>Grunddaten[[#This Row],[Sitze im Hauptorgan]]/_xlfn.NUMBERVALUE(MID(INDEX(TabDH[[#Headers],[:1]:[:19]],COLUMN()-COLUMN(TabDH[[#Headers],[:1]])+1),2,3))</f>
        <v>0.125</v>
      </c>
      <c r="CR13" s="48">
        <f>Grunddaten[[#This Row],[Sitze im Hauptorgan]]/_xlfn.NUMBERVALUE(MID(INDEX(TabDH[[#Headers],[:1]:[:19]],COLUMN()-COLUMN(TabDH[[#Headers],[:1]])+1),2,3))</f>
        <v>0.1111111111111111</v>
      </c>
      <c r="CS13" s="48">
        <f>Grunddaten[[#This Row],[Sitze im Hauptorgan]]/_xlfn.NUMBERVALUE(MID(INDEX(TabDH[[#Headers],[:1]:[:19]],COLUMN()-COLUMN(TabDH[[#Headers],[:1]])+1),2,3))</f>
        <v>0.1</v>
      </c>
      <c r="CT13" s="48">
        <f>Grunddaten[[#This Row],[Sitze im Hauptorgan]]/_xlfn.NUMBERVALUE(MID(INDEX(TabDH[[#Headers],[:1]:[:19]],COLUMN()-COLUMN(TabDH[[#Headers],[:1]])+1),2,3))</f>
        <v>9.0909090909090912E-2</v>
      </c>
      <c r="CU13" s="48">
        <f>Grunddaten[[#This Row],[Sitze im Hauptorgan]]/_xlfn.NUMBERVALUE(MID(INDEX(TabDH[[#Headers],[:1]:[:19]],COLUMN()-COLUMN(TabDH[[#Headers],[:1]])+1),2,3))</f>
        <v>8.3333333333333329E-2</v>
      </c>
      <c r="CV13" s="48">
        <f>Grunddaten[[#This Row],[Sitze im Hauptorgan]]/_xlfn.NUMBERVALUE(MID(INDEX(TabDH[[#Headers],[:1]:[:19]],COLUMN()-COLUMN(TabDH[[#Headers],[:1]])+1),2,3))</f>
        <v>7.6923076923076927E-2</v>
      </c>
      <c r="CW13" s="48">
        <f>Grunddaten[[#This Row],[Sitze im Hauptorgan]]/_xlfn.NUMBERVALUE(MID(INDEX(TabDH[[#Headers],[:1]:[:19]],COLUMN()-COLUMN(TabDH[[#Headers],[:1]])+1),2,3))</f>
        <v>7.1428571428571425E-2</v>
      </c>
      <c r="CX13" s="48">
        <f>Grunddaten[[#This Row],[Sitze im Hauptorgan]]/_xlfn.NUMBERVALUE(MID(INDEX(TabDH[[#Headers],[:1]:[:19]],COLUMN()-COLUMN(TabDH[[#Headers],[:1]])+1),2,3))</f>
        <v>6.6666666666666666E-2</v>
      </c>
      <c r="CY13" s="48">
        <f>Grunddaten[[#This Row],[Sitze im Hauptorgan]]/_xlfn.NUMBERVALUE(MID(INDEX(TabDH[[#Headers],[:1]:[:19]],COLUMN()-COLUMN(TabDH[[#Headers],[:1]])+1),2,3))</f>
        <v>6.25E-2</v>
      </c>
      <c r="CZ13" s="48">
        <f>Grunddaten[[#This Row],[Sitze im Hauptorgan]]/_xlfn.NUMBERVALUE(MID(INDEX(TabDH[[#Headers],[:1]:[:19]],COLUMN()-COLUMN(TabDH[[#Headers],[:1]])+1),2,3))</f>
        <v>5.8823529411764705E-2</v>
      </c>
      <c r="DA13" s="48">
        <f>Grunddaten[[#This Row],[Sitze im Hauptorgan]]/_xlfn.NUMBERVALUE(MID(INDEX(TabDH[[#Headers],[:1]:[:19]],COLUMN()-COLUMN(TabDH[[#Headers],[:1]])+1),2,3))</f>
        <v>5.5555555555555552E-2</v>
      </c>
      <c r="DB13" s="49">
        <f>Grunddaten[[#This Row],[Sitze im Hauptorgan]]/_xlfn.NUMBERVALUE(MID(INDEX(TabDH[[#Headers],[:1]:[:19]],COLUMN()-COLUMN(TabDH[[#Headers],[:1]])+1),2,3))</f>
        <v>5.2631578947368418E-2</v>
      </c>
      <c r="DC13" s="50">
        <f>_xlfn.RANK.EQ(TabDH[[#This Row],[:1]],TabDH[[:1]:[:19]],0)</f>
        <v>16</v>
      </c>
      <c r="DD13" s="51">
        <f>_xlfn.RANK.EQ(TabDH[[#This Row],[:2]],TabDH[[:1]:[:19]],0)</f>
        <v>40</v>
      </c>
      <c r="DE13" s="51">
        <f>_xlfn.RANK.EQ(TabDH[[#This Row],[:3]],TabDH[[:1]:[:19]],0)</f>
        <v>64</v>
      </c>
      <c r="DF13" s="51">
        <f>_xlfn.RANK.EQ(TabDH[[#This Row],[:4]],TabDH[[:1]:[:19]],0)</f>
        <v>84</v>
      </c>
      <c r="DG13" s="51">
        <f>_xlfn.RANK.EQ(TabDH[[#This Row],[:5]],TabDH[[:1]:[:19]],0)</f>
        <v>97</v>
      </c>
      <c r="DH13" s="51">
        <f>_xlfn.RANK.EQ(TabDH[[#This Row],[:6]],TabDH[[:1]:[:19]],0)</f>
        <v>106</v>
      </c>
      <c r="DI13" s="51">
        <f>_xlfn.RANK.EQ(TabDH[[#This Row],[:7]],TabDH[[:1]:[:19]],0)</f>
        <v>114</v>
      </c>
      <c r="DJ13" s="51">
        <f>_xlfn.RANK.EQ(TabDH[[#This Row],[:8]],TabDH[[:1]:[:19]],0)</f>
        <v>120</v>
      </c>
      <c r="DK13" s="51">
        <f>_xlfn.RANK.EQ(TabDH[[#This Row],[:9]],TabDH[[:1]:[:19]],0)</f>
        <v>126</v>
      </c>
      <c r="DL13" s="51">
        <f>_xlfn.RANK.EQ(TabDH[[#This Row],[:10]],TabDH[[:1]:[:19]],0)</f>
        <v>132</v>
      </c>
      <c r="DM13" s="51">
        <f>_xlfn.RANK.EQ(TabDH[[#This Row],[:11]],TabDH[[:1]:[:19]],0)</f>
        <v>136</v>
      </c>
      <c r="DN13" s="51">
        <f>_xlfn.RANK.EQ(TabDH[[#This Row],[:12]],TabDH[[:1]:[:19]],0)</f>
        <v>140</v>
      </c>
      <c r="DO13" s="51">
        <f>_xlfn.RANK.EQ(TabDH[[#This Row],[:13]],TabDH[[:1]:[:19]],0)</f>
        <v>144</v>
      </c>
      <c r="DP13" s="51">
        <f>_xlfn.RANK.EQ(TabDH[[#This Row],[:14]],TabDH[[:1]:[:19]],0)</f>
        <v>148</v>
      </c>
      <c r="DQ13" s="51">
        <f>_xlfn.RANK.EQ(TabDH[[#This Row],[:15]],TabDH[[:1]:[:19]],0)</f>
        <v>152</v>
      </c>
      <c r="DR13" s="51">
        <f>_xlfn.RANK.EQ(TabDH[[#This Row],[:16]],TabDH[[:1]:[:19]],0)</f>
        <v>156</v>
      </c>
      <c r="DS13" s="51">
        <f>_xlfn.RANK.EQ(TabDH[[#This Row],[:17]],TabDH[[:1]:[:19]],0)</f>
        <v>160</v>
      </c>
      <c r="DT13" s="51">
        <f>_xlfn.RANK.EQ(TabDH[[#This Row],[:18]],TabDH[[:1]:[:19]],0)</f>
        <v>164</v>
      </c>
      <c r="DU13" s="52">
        <f>_xlfn.RANK.EQ(TabDH[[#This Row],[:19]],TabDH[[:1]:[:19]],0)</f>
        <v>168</v>
      </c>
      <c r="DV13" s="53" t="str">
        <f>IF(TabDH[[#This Row],[R1]]&lt;=Sitze_Ausschuss,IF(TabDH[[#This Row],[R1]]+COUNTIF(TabDH[[R1]:[R19]],TabDH[[#This Row],[R1]])-1&lt;=Sitze_Ausschuss,"SITZ","PATT"),"")</f>
        <v/>
      </c>
      <c r="DW13" s="54" t="str">
        <f>IF(TabDH[[#This Row],[R2]]&lt;=Sitze_Ausschuss,IF(TabDH[[#This Row],[R2]]+COUNTIF(TabDH[[R1]:[R19]],TabDH[[#This Row],[R2]])-1&lt;=Sitze_Ausschuss,"SITZ","PATT"),"")</f>
        <v/>
      </c>
      <c r="DX13" s="54" t="str">
        <f>IF(TabDH[[#This Row],[R3]]&lt;=Sitze_Ausschuss,IF(TabDH[[#This Row],[R3]]+COUNTIF(TabDH[[R1]:[R19]],TabDH[[#This Row],[R3]])-1&lt;=Sitze_Ausschuss,"SITZ","PATT"),"")</f>
        <v/>
      </c>
      <c r="DY13" s="54" t="str">
        <f>IF(TabDH[[#This Row],[R4]]&lt;=Sitze_Ausschuss,IF(TabDH[[#This Row],[R4]]+COUNTIF(TabDH[[R1]:[R19]],TabDH[[#This Row],[R4]])-1&lt;=Sitze_Ausschuss,"SITZ","PATT"),"")</f>
        <v/>
      </c>
      <c r="DZ13" s="54" t="str">
        <f>IF(TabDH[[#This Row],[R5]]&lt;=Sitze_Ausschuss,IF(TabDH[[#This Row],[R5]]+COUNTIF(TabDH[[R1]:[R19]],TabDH[[#This Row],[R5]])-1&lt;=Sitze_Ausschuss,"SITZ","PATT"),"")</f>
        <v/>
      </c>
      <c r="EA13" s="54" t="str">
        <f>IF(TabDH[[#This Row],[R6]]&lt;=Sitze_Ausschuss,IF(TabDH[[#This Row],[R6]]+COUNTIF(TabDH[[R1]:[R19]],TabDH[[#This Row],[R6]])-1&lt;=Sitze_Ausschuss,"SITZ","PATT"),"")</f>
        <v/>
      </c>
      <c r="EB13" s="54" t="str">
        <f>IF(TabDH[[#This Row],[R7]]&lt;=Sitze_Ausschuss,IF(TabDH[[#This Row],[R7]]+COUNTIF(TabDH[[R1]:[R19]],TabDH[[#This Row],[R7]])-1&lt;=Sitze_Ausschuss,"SITZ","PATT"),"")</f>
        <v/>
      </c>
      <c r="EC13" s="54" t="str">
        <f>IF(TabDH[[#This Row],[R8]]&lt;=Sitze_Ausschuss,IF(TabDH[[#This Row],[R8]]+COUNTIF(TabDH[[R1]:[R19]],TabDH[[#This Row],[R8]])-1&lt;=Sitze_Ausschuss,"SITZ","PATT"),"")</f>
        <v/>
      </c>
      <c r="ED13" s="54" t="str">
        <f>IF(TabDH[[#This Row],[R9]]&lt;=Sitze_Ausschuss,IF(TabDH[[#This Row],[R9]]+COUNTIF(TabDH[[R1]:[R19]],TabDH[[#This Row],[R9]])-1&lt;=Sitze_Ausschuss,"SITZ","PATT"),"")</f>
        <v/>
      </c>
      <c r="EE13" s="54" t="str">
        <f>IF(TabDH[[#This Row],[R10]]&lt;=Sitze_Ausschuss,IF(TabDH[[#This Row],[R10]]+COUNTIF(TabDH[[R1]:[R19]],TabDH[[#This Row],[R10]])-1&lt;=Sitze_Ausschuss,"SITZ","PATT"),"")</f>
        <v/>
      </c>
      <c r="EF13" s="54" t="str">
        <f>IF(TabDH[[#This Row],[R11]]&lt;=Sitze_Ausschuss,IF(TabDH[[#This Row],[R11]]+COUNTIF(TabDH[[R1]:[R19]],TabDH[[#This Row],[R11]])-1&lt;=Sitze_Ausschuss,"SITZ","PATT"),"")</f>
        <v/>
      </c>
      <c r="EG13" s="54" t="str">
        <f>IF(TabDH[[#This Row],[R12]]&lt;=Sitze_Ausschuss,IF(TabDH[[#This Row],[R12]]+COUNTIF(TabDH[[R1]:[R19]],TabDH[[#This Row],[R12]])-1&lt;=Sitze_Ausschuss,"SITZ","PATT"),"")</f>
        <v/>
      </c>
      <c r="EH13" s="54" t="str">
        <f>IF(TabDH[[#This Row],[R13]]&lt;=Sitze_Ausschuss,IF(TabDH[[#This Row],[R13]]+COUNTIF(TabDH[[R1]:[R19]],TabDH[[#This Row],[R13]])-1&lt;=Sitze_Ausschuss,"SITZ","PATT"),"")</f>
        <v/>
      </c>
      <c r="EI13" s="54" t="str">
        <f>IF(TabDH[[#This Row],[R14]]&lt;=Sitze_Ausschuss,IF(TabDH[[#This Row],[R14]]+COUNTIF(TabDH[[R1]:[R19]],TabDH[[#This Row],[R14]])-1&lt;=Sitze_Ausschuss,"SITZ","PATT"),"")</f>
        <v/>
      </c>
      <c r="EJ13" s="54" t="str">
        <f>IF(TabDH[[#This Row],[R15]]&lt;=Sitze_Ausschuss,IF(TabDH[[#This Row],[R15]]+COUNTIF(TabDH[[R1]:[R19]],TabDH[[#This Row],[R15]])-1&lt;=Sitze_Ausschuss,"SITZ","PATT"),"")</f>
        <v/>
      </c>
      <c r="EK13" s="54" t="str">
        <f>IF(TabDH[[#This Row],[R16]]&lt;=Sitze_Ausschuss,IF(TabDH[[#This Row],[R16]]+COUNTIF(TabDH[[R1]:[R19]],TabDH[[#This Row],[R16]])-1&lt;=Sitze_Ausschuss,"SITZ","PATT"),"")</f>
        <v/>
      </c>
      <c r="EL13" s="54" t="str">
        <f>IF(TabDH[[#This Row],[R17]]&lt;=Sitze_Ausschuss,IF(TabDH[[#This Row],[R17]]+COUNTIF(TabDH[[R1]:[R19]],TabDH[[#This Row],[R17]])-1&lt;=Sitze_Ausschuss,"SITZ","PATT"),"")</f>
        <v/>
      </c>
      <c r="EM13" s="54" t="str">
        <f>IF(TabDH[[#This Row],[R18]]&lt;=Sitze_Ausschuss,IF(TabDH[[#This Row],[R18]]+COUNTIF(TabDH[[R1]:[R19]],TabDH[[#This Row],[R18]])-1&lt;=Sitze_Ausschuss,"SITZ","PATT"),"")</f>
        <v/>
      </c>
      <c r="EN13" s="54" t="str">
        <f>IF(TabDH[[#This Row],[R19]]&lt;=Sitze_Ausschuss,IF(TabDH[[#This Row],[R19]]+COUNTIF(TabDH[[R1]:[R19]],TabDH[[#This Row],[R19]])-1&lt;=Sitze_Ausschuss,"SITZ","PATT"),"")</f>
        <v/>
      </c>
      <c r="EO13" s="56" t="b">
        <f>COUNTIF(TabDH[[#This Row],[SP1]:[SP19]],"PATT")&gt;0</f>
        <v>0</v>
      </c>
      <c r="EP13" s="42">
        <f>IF(TabDH[[#This Row],[Patt]],(Sitze_Ausschuss-SUM(TabDH[Sitze]))/TabDH[[#Totals],[Patt]],0)</f>
        <v>0</v>
      </c>
      <c r="EQ13" s="57">
        <f>TabDH[[#This Row],[Patt]]*IF(Pattaufloesung="Stimmen",TabPatt[[#This Row],[Stimmen]],TabPatt[[#This Row],[Loserfolg]])*1</f>
        <v>0</v>
      </c>
      <c r="ER13" s="58" t="b">
        <f>_xlfn.RANK.EQ(TabDH[[#This Row],[Stimmen/Gelost]],TabDH[Stimmen/Gelost],0)&lt;=(Sitze_Ausschuss-SUM(TabDH[Sitze]))</f>
        <v>1</v>
      </c>
      <c r="ES13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3" s="3"/>
      <c r="EU13" s="60" t="str">
        <f>Grunddaten[[#This Row],[Partei/Wählergruppe]]&amp;""</f>
        <v>PARTEI X</v>
      </c>
      <c r="EV13" s="85">
        <v>1111</v>
      </c>
      <c r="EW13" s="66" t="b">
        <v>0</v>
      </c>
      <c r="EX13" s="3"/>
      <c r="EY13" s="3"/>
      <c r="EZ13" s="3"/>
      <c r="FA13" s="3"/>
      <c r="FB13" s="3"/>
    </row>
    <row r="14" spans="1:164" x14ac:dyDescent="0.25">
      <c r="A14" s="3"/>
      <c r="B14" s="67" t="s">
        <v>161</v>
      </c>
      <c r="C14" s="85">
        <v>1</v>
      </c>
      <c r="D14" s="83">
        <f>Grunddaten[[#This Row],[Sitze im Hauptorgan]]/Grunddaten[[#Totals],[Sitze im Hauptorgan]]*Sitze_Ausschuss</f>
        <v>0.45833333333333331</v>
      </c>
      <c r="E14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 oder 1</v>
      </c>
      <c r="F14" s="61" t="str">
        <f t="shared" si="0"/>
        <v>OK</v>
      </c>
      <c r="G14" s="62" t="str">
        <f>IF(TabSLS[[#This Row],[QK verletzt]],"NOK","OK")</f>
        <v>OK</v>
      </c>
      <c r="H14" s="63" t="str">
        <f>IF(TabDH[[#This Row],[QK verletzt]],"NOK","OK")</f>
        <v>OK</v>
      </c>
      <c r="I14" s="3"/>
      <c r="J14" s="37">
        <f>TabHN[[#This Row],[S ganz]]+IF(NOT(TabHN[[#This Row],[Patt]]),TabHN[[#This Row],[Restsitz]],0)</f>
        <v>0</v>
      </c>
      <c r="K14" s="38">
        <f>IF(TabHN[[#This Row],[Patt]],IF(Pattaufloesung="Los-Chance",TabHN[[#This Row],[Los Chance]],TabHN[[#This Row],[Pattgewinn]]+0),0)</f>
        <v>0.5</v>
      </c>
      <c r="L14" s="39">
        <f>INT(Grunddaten[[#This Row],[Proporzgenaue Zahl Ausschuss]])</f>
        <v>0</v>
      </c>
      <c r="M14" s="40">
        <f>ROUND(Grunddaten[[#This Row],[Proporzgenaue Zahl Ausschuss]]-TabHN[[#This Row],[S ganz]],4)</f>
        <v>0.45829999999999999</v>
      </c>
      <c r="N14" s="41">
        <f>_xlfn.RANK.EQ(TabHN[[#This Row],[S Rest]],TabHN[S Rest],0)</f>
        <v>4</v>
      </c>
      <c r="O14" s="39">
        <f>IF(TabHN[[#This Row],[Rng Rest]]&lt;=TabHN[[#Totals],[S Rest]],1,0)</f>
        <v>1</v>
      </c>
      <c r="P14" s="39" t="b">
        <f>AND(TabHN[[#This Row],[Restsitz]]=1,(COUNTIF(TabHN[Rng Rest],TabHN[[#This Row],[Rng Rest]])+TabHN[[#This Row],[Rng Rest]]-1)&gt;TabHN[[#Totals],[S Rest]])</f>
        <v>1</v>
      </c>
      <c r="Q14" s="42">
        <f>IF(TabHN[[#This Row],[Patt]],(Sitze_Ausschuss-SUM(TabHN[Sitze]))/TabHN[[#Totals],[Patt]],0)</f>
        <v>0.5</v>
      </c>
      <c r="R14" s="43">
        <f>TabHN[[#This Row],[Patt]]*IF(Pattaufloesung="Stimmen",TabPatt[[#This Row],[Stimmen]],TabPatt[[#This Row],[Loserfolg]])*1</f>
        <v>0</v>
      </c>
      <c r="S14" s="44" t="b">
        <f>_xlfn.RANK.EQ(TabHN[[#This Row],[Stimmen/Gelost]],TabHN[Stimmen/Gelost],0)&lt;=(Sitze_Ausschuss-SUM(TabHN[Sitze]))</f>
        <v>1</v>
      </c>
      <c r="T14" s="3"/>
      <c r="U14" s="45">
        <f>COUNTIF(TabSLS[[#This Row],[SP1]:[SP37]],"SITZ")</f>
        <v>0</v>
      </c>
      <c r="V14" s="46">
        <f>IF(TabSLS[[#This Row],[Patt?]],IF(Pattaufloesung="Los-Chance",TabSLS[[#This Row],[Los Chance]],TabSLS[[#This Row],[Pattgewinn]]+0),0)</f>
        <v>0.33333333333333331</v>
      </c>
      <c r="W14" s="47">
        <f>Grunddaten[[#This Row],[Sitze im Hauptorgan]]/_xlfn.NUMBERVALUE(MID(INDEX(TabSLS[[#Headers],[:1]:[:37]],COLUMN()-COLUMN(TabSLS[[#Headers],[:1]])+1),2,3))</f>
        <v>1</v>
      </c>
      <c r="X14" s="48">
        <f>Grunddaten[[#This Row],[Sitze im Hauptorgan]]/_xlfn.NUMBERVALUE(MID(INDEX(TabSLS[[#Headers],[:1]:[:37]],COLUMN()-COLUMN(TabSLS[[#Headers],[:1]])+1),2,3))</f>
        <v>0.33333333333333331</v>
      </c>
      <c r="Y14" s="48">
        <f>Grunddaten[[#This Row],[Sitze im Hauptorgan]]/_xlfn.NUMBERVALUE(MID(INDEX(TabSLS[[#Headers],[:1]:[:37]],COLUMN()-COLUMN(TabSLS[[#Headers],[:1]])+1),2,3))</f>
        <v>0.2</v>
      </c>
      <c r="Z14" s="48">
        <f>Grunddaten[[#This Row],[Sitze im Hauptorgan]]/_xlfn.NUMBERVALUE(MID(INDEX(TabSLS[[#Headers],[:1]:[:37]],COLUMN()-COLUMN(TabSLS[[#Headers],[:1]])+1),2,3))</f>
        <v>0.14285714285714285</v>
      </c>
      <c r="AA14" s="48">
        <f>Grunddaten[[#This Row],[Sitze im Hauptorgan]]/_xlfn.NUMBERVALUE(MID(INDEX(TabSLS[[#Headers],[:1]:[:37]],COLUMN()-COLUMN(TabSLS[[#Headers],[:1]])+1),2,3))</f>
        <v>0.1111111111111111</v>
      </c>
      <c r="AB14" s="48">
        <f>Grunddaten[[#This Row],[Sitze im Hauptorgan]]/_xlfn.NUMBERVALUE(MID(INDEX(TabSLS[[#Headers],[:1]:[:37]],COLUMN()-COLUMN(TabSLS[[#Headers],[:1]])+1),2,3))</f>
        <v>9.0909090909090912E-2</v>
      </c>
      <c r="AC14" s="48">
        <f>Grunddaten[[#This Row],[Sitze im Hauptorgan]]/_xlfn.NUMBERVALUE(MID(INDEX(TabSLS[[#Headers],[:1]:[:37]],COLUMN()-COLUMN(TabSLS[[#Headers],[:1]])+1),2,3))</f>
        <v>7.6923076923076927E-2</v>
      </c>
      <c r="AD14" s="48">
        <f>Grunddaten[[#This Row],[Sitze im Hauptorgan]]/_xlfn.NUMBERVALUE(MID(INDEX(TabSLS[[#Headers],[:1]:[:37]],COLUMN()-COLUMN(TabSLS[[#Headers],[:1]])+1),2,3))</f>
        <v>6.6666666666666666E-2</v>
      </c>
      <c r="AE14" s="48">
        <f>Grunddaten[[#This Row],[Sitze im Hauptorgan]]/_xlfn.NUMBERVALUE(MID(INDEX(TabSLS[[#Headers],[:1]:[:37]],COLUMN()-COLUMN(TabSLS[[#Headers],[:1]])+1),2,3))</f>
        <v>5.8823529411764705E-2</v>
      </c>
      <c r="AF14" s="48">
        <f>Grunddaten[[#This Row],[Sitze im Hauptorgan]]/_xlfn.NUMBERVALUE(MID(INDEX(TabSLS[[#Headers],[:1]:[:37]],COLUMN()-COLUMN(TabSLS[[#Headers],[:1]])+1),2,3))</f>
        <v>5.2631578947368418E-2</v>
      </c>
      <c r="AG14" s="48">
        <f>Grunddaten[[#This Row],[Sitze im Hauptorgan]]/_xlfn.NUMBERVALUE(MID(INDEX(TabSLS[[#Headers],[:1]:[:37]],COLUMN()-COLUMN(TabSLS[[#Headers],[:1]])+1),2,3))</f>
        <v>4.7619047619047616E-2</v>
      </c>
      <c r="AH14" s="48">
        <f>Grunddaten[[#This Row],[Sitze im Hauptorgan]]/_xlfn.NUMBERVALUE(MID(INDEX(TabSLS[[#Headers],[:1]:[:37]],COLUMN()-COLUMN(TabSLS[[#Headers],[:1]])+1),2,3))</f>
        <v>4.3478260869565216E-2</v>
      </c>
      <c r="AI14" s="48">
        <f>Grunddaten[[#This Row],[Sitze im Hauptorgan]]/_xlfn.NUMBERVALUE(MID(INDEX(TabSLS[[#Headers],[:1]:[:37]],COLUMN()-COLUMN(TabSLS[[#Headers],[:1]])+1),2,3))</f>
        <v>0.04</v>
      </c>
      <c r="AJ14" s="48">
        <f>Grunddaten[[#This Row],[Sitze im Hauptorgan]]/_xlfn.NUMBERVALUE(MID(INDEX(TabSLS[[#Headers],[:1]:[:37]],COLUMN()-COLUMN(TabSLS[[#Headers],[:1]])+1),2,3))</f>
        <v>3.7037037037037035E-2</v>
      </c>
      <c r="AK14" s="48">
        <f>Grunddaten[[#This Row],[Sitze im Hauptorgan]]/_xlfn.NUMBERVALUE(MID(INDEX(TabSLS[[#Headers],[:1]:[:37]],COLUMN()-COLUMN(TabSLS[[#Headers],[:1]])+1),2,3))</f>
        <v>3.4482758620689655E-2</v>
      </c>
      <c r="AL14" s="48">
        <f>Grunddaten[[#This Row],[Sitze im Hauptorgan]]/_xlfn.NUMBERVALUE(MID(INDEX(TabSLS[[#Headers],[:1]:[:37]],COLUMN()-COLUMN(TabSLS[[#Headers],[:1]])+1),2,3))</f>
        <v>3.2258064516129031E-2</v>
      </c>
      <c r="AM14" s="48">
        <f>Grunddaten[[#This Row],[Sitze im Hauptorgan]]/_xlfn.NUMBERVALUE(MID(INDEX(TabSLS[[#Headers],[:1]:[:37]],COLUMN()-COLUMN(TabSLS[[#Headers],[:1]])+1),2,3))</f>
        <v>3.0303030303030304E-2</v>
      </c>
      <c r="AN14" s="48">
        <f>Grunddaten[[#This Row],[Sitze im Hauptorgan]]/_xlfn.NUMBERVALUE(MID(INDEX(TabSLS[[#Headers],[:1]:[:37]],COLUMN()-COLUMN(TabSLS[[#Headers],[:1]])+1),2,3))</f>
        <v>2.8571428571428571E-2</v>
      </c>
      <c r="AO14" s="49">
        <f>Grunddaten[[#This Row],[Sitze im Hauptorgan]]/_xlfn.NUMBERVALUE(MID(INDEX(TabSLS[[#Headers],[:1]:[:37]],COLUMN()-COLUMN(TabSLS[[#Headers],[:1]])+1),2,3))</f>
        <v>2.7027027027027029E-2</v>
      </c>
      <c r="AP14" s="50">
        <f>_xlfn.RANK.EQ(TabSLS[[#This Row],[:1]],TabSLS[[:1]:[:37]],0)</f>
        <v>10</v>
      </c>
      <c r="AQ14" s="51">
        <f>_xlfn.RANK.EQ(TabSLS[[#This Row],[:3]],TabSLS[[:1]:[:37]],0)</f>
        <v>34</v>
      </c>
      <c r="AR14" s="51">
        <f>_xlfn.RANK.EQ(TabSLS[[#This Row],[:5]],TabSLS[[:1]:[:37]],0)</f>
        <v>58</v>
      </c>
      <c r="AS14" s="51">
        <f>_xlfn.RANK.EQ(TabSLS[[#This Row],[:7]],TabSLS[[:1]:[:37]],0)</f>
        <v>80</v>
      </c>
      <c r="AT14" s="51">
        <f>_xlfn.RANK.EQ(TabSLS[[#This Row],[:9]],TabSLS[[:1]:[:37]],0)</f>
        <v>95</v>
      </c>
      <c r="AU14" s="51">
        <f>_xlfn.RANK.EQ(TabSLS[[#This Row],[:11]],TabSLS[[:1]:[:37]],0)</f>
        <v>105</v>
      </c>
      <c r="AV14" s="51">
        <f>_xlfn.RANK.EQ(TabSLS[[#This Row],[:13]],TabSLS[[:1]:[:37]],0)</f>
        <v>114</v>
      </c>
      <c r="AW14" s="51">
        <f>_xlfn.RANK.EQ(TabSLS[[#This Row],[:15]],TabSLS[[:1]:[:37]],0)</f>
        <v>120</v>
      </c>
      <c r="AX14" s="51">
        <f>_xlfn.RANK.EQ(TabSLS[[#This Row],[:17]],TabSLS[[:1]:[:37]],0)</f>
        <v>126</v>
      </c>
      <c r="AY14" s="51">
        <f>_xlfn.RANK.EQ(TabSLS[[#This Row],[:19]],TabSLS[[:1]:[:37]],0)</f>
        <v>132</v>
      </c>
      <c r="AZ14" s="51">
        <f>_xlfn.RANK.EQ(TabSLS[[#This Row],[:21]],TabSLS[[:1]:[:37]],0)</f>
        <v>136</v>
      </c>
      <c r="BA14" s="51">
        <f>_xlfn.RANK.EQ(TabSLS[[#This Row],[:23]],TabSLS[[:1]:[:37]],0)</f>
        <v>140</v>
      </c>
      <c r="BB14" s="51">
        <f>_xlfn.RANK.EQ(TabSLS[[#This Row],[:25]],TabSLS[[:1]:[:37]],0)</f>
        <v>144</v>
      </c>
      <c r="BC14" s="51">
        <f>_xlfn.RANK.EQ(TabSLS[[#This Row],[:27]],TabSLS[[:1]:[:37]],0)</f>
        <v>148</v>
      </c>
      <c r="BD14" s="51">
        <f>_xlfn.RANK.EQ(TabSLS[[#This Row],[:29]],TabSLS[[:1]:[:37]],0)</f>
        <v>152</v>
      </c>
      <c r="BE14" s="51">
        <f>_xlfn.RANK.EQ(TabSLS[[#This Row],[:31]],TabSLS[[:1]:[:37]],0)</f>
        <v>156</v>
      </c>
      <c r="BF14" s="51">
        <f>_xlfn.RANK.EQ(TabSLS[[#This Row],[:33]],TabSLS[[:1]:[:37]],0)</f>
        <v>160</v>
      </c>
      <c r="BG14" s="51">
        <f>_xlfn.RANK.EQ(TabSLS[[#This Row],[:35]],TabSLS[[:1]:[:37]],0)</f>
        <v>164</v>
      </c>
      <c r="BH14" s="52">
        <f>_xlfn.RANK.EQ(TabSLS[[#This Row],[:37]],TabSLS[[:1]:[:37]],0)</f>
        <v>168</v>
      </c>
      <c r="BI14" s="53" t="str">
        <f>IF(TabSLS[[#This Row],[R1]]&lt;=Sitze_Ausschuss,IF(TabSLS[[#This Row],[R1]]+COUNTIF(TabSLS[[R1]:[R37]],TabSLS[[#This Row],[R1]])-1&lt;=Sitze_Ausschuss,"SITZ","PATT"),"")</f>
        <v>PATT</v>
      </c>
      <c r="BJ14" s="54" t="str">
        <f>IF(TabSLS[[#This Row],[R3]]&lt;=Sitze_Ausschuss,IF(TabSLS[[#This Row],[R3]]+COUNTIF(TabSLS[[R1]:[R37]],TabSLS[[#This Row],[R3]])-1&lt;=Sitze_Ausschuss,"SITZ","PATT"),"")</f>
        <v/>
      </c>
      <c r="BK14" s="54" t="str">
        <f>IF(TabSLS[[#This Row],[R5]]&lt;=Sitze_Ausschuss,IF(TabSLS[[#This Row],[R5]]+COUNTIF(TabSLS[[R1]:[R37]],TabSLS[[#This Row],[R5]])-1&lt;=Sitze_Ausschuss,"SITZ","PATT"),"")</f>
        <v/>
      </c>
      <c r="BL14" s="54" t="str">
        <f>IF(TabSLS[[#This Row],[R7]]&lt;=Sitze_Ausschuss,IF(TabSLS[[#This Row],[R7]]+COUNTIF(TabSLS[[R1]:[R37]],TabSLS[[#This Row],[R7]])-1&lt;=Sitze_Ausschuss,"SITZ","PATT"),"")</f>
        <v/>
      </c>
      <c r="BM14" s="54" t="str">
        <f>IF(TabSLS[[#This Row],[R9]]&lt;=Sitze_Ausschuss,IF(TabSLS[[#This Row],[R9]]+COUNTIF(TabSLS[[R1]:[R37]],TabSLS[[#This Row],[R9]])-1&lt;=Sitze_Ausschuss,"SITZ","PATT"),"")</f>
        <v/>
      </c>
      <c r="BN14" s="54" t="str">
        <f>IF(TabSLS[[#This Row],[R11]]&lt;=Sitze_Ausschuss,IF(TabSLS[[#This Row],[R11]]+COUNTIF(TabSLS[[R1]:[R37]],TabSLS[[#This Row],[R11]])-1&lt;=Sitze_Ausschuss,"SITZ","PATT"),"")</f>
        <v/>
      </c>
      <c r="BO14" s="54" t="str">
        <f>IF(TabSLS[[#This Row],[R13]]&lt;=Sitze_Ausschuss,IF(TabSLS[[#This Row],[R13]]+COUNTIF(TabSLS[[R1]:[R37]],TabSLS[[#This Row],[R13]])-1&lt;=Sitze_Ausschuss,"SITZ","PATT"),"")</f>
        <v/>
      </c>
      <c r="BP14" s="54" t="str">
        <f>IF(TabSLS[[#This Row],[R15]]&lt;=Sitze_Ausschuss,IF(TabSLS[[#This Row],[R15]]+COUNTIF(TabSLS[[R1]:[R37]],TabSLS[[#This Row],[R15]])-1&lt;=Sitze_Ausschuss,"SITZ","PATT"),"")</f>
        <v/>
      </c>
      <c r="BQ14" s="54" t="str">
        <f>IF(TabSLS[[#This Row],[R17]]&lt;=Sitze_Ausschuss,IF(TabSLS[[#This Row],[R17]]+COUNTIF(TabSLS[[R1]:[R37]],TabSLS[[#This Row],[R17]])-1&lt;=Sitze_Ausschuss,"SITZ","PATT"),"")</f>
        <v/>
      </c>
      <c r="BR14" s="54" t="str">
        <f>IF(TabSLS[[#This Row],[R19]]&lt;=Sitze_Ausschuss,IF(TabSLS[[#This Row],[R19]]+COUNTIF(TabSLS[[R1]:[R37]],TabSLS[[#This Row],[R19]])-1&lt;=Sitze_Ausschuss,"SITZ","PATT"),"")</f>
        <v/>
      </c>
      <c r="BS14" s="54" t="str">
        <f>IF(TabSLS[[#This Row],[R21]]&lt;=Sitze_Ausschuss,IF(TabSLS[[#This Row],[R21]]+COUNTIF(TabSLS[[R1]:[R37]],TabSLS[[#This Row],[R21]])-1&lt;=Sitze_Ausschuss,"SITZ","PATT"),"")</f>
        <v/>
      </c>
      <c r="BT14" s="54" t="str">
        <f>IF(TabSLS[[#This Row],[R23]]&lt;=Sitze_Ausschuss,IF(TabSLS[[#This Row],[R23]]+COUNTIF(TabSLS[[R1]:[R37]],TabSLS[[#This Row],[R23]])-1&lt;=Sitze_Ausschuss,"SITZ","PATT"),"")</f>
        <v/>
      </c>
      <c r="BU14" s="54" t="str">
        <f>IF(TabSLS[[#This Row],[R25]]&lt;=Sitze_Ausschuss,IF(TabSLS[[#This Row],[R25]]+COUNTIF(TabSLS[[R1]:[R37]],TabSLS[[#This Row],[R25]])-1&lt;=Sitze_Ausschuss,"SITZ","PATT"),"")</f>
        <v/>
      </c>
      <c r="BV14" s="54" t="str">
        <f>IF(TabSLS[[#This Row],[R27]]&lt;=Sitze_Ausschuss,IF(TabSLS[[#This Row],[R27]]+COUNTIF(TabSLS[[R1]:[R37]],TabSLS[[#This Row],[R27]])-1&lt;=Sitze_Ausschuss,"SITZ","PATT"),"")</f>
        <v/>
      </c>
      <c r="BW14" s="54" t="str">
        <f>IF(TabSLS[[#This Row],[R29]]&lt;=Sitze_Ausschuss,IF(TabSLS[[#This Row],[R29]]+COUNTIF(TabSLS[[R1]:[R37]],TabSLS[[#This Row],[R29]])-1&lt;=Sitze_Ausschuss,"SITZ","PATT"),"")</f>
        <v/>
      </c>
      <c r="BX14" s="54" t="str">
        <f>IF(TabSLS[[#This Row],[R31]]&lt;=Sitze_Ausschuss,IF(TabSLS[[#This Row],[R31]]+COUNTIF(TabSLS[[R1]:[R37]],TabSLS[[#This Row],[R31]])-1&lt;=Sitze_Ausschuss,"SITZ","PATT"),"")</f>
        <v/>
      </c>
      <c r="BY14" s="54" t="str">
        <f>IF(TabSLS[[#This Row],[R33]]&lt;=Sitze_Ausschuss,IF(TabSLS[[#This Row],[R33]]+COUNTIF(TabSLS[[R1]:[R37]],TabSLS[[#This Row],[R33]])-1&lt;=Sitze_Ausschuss,"SITZ","PATT"),"")</f>
        <v/>
      </c>
      <c r="BZ14" s="54" t="str">
        <f>IF(TabSLS[[#This Row],[R35]]&lt;=Sitze_Ausschuss,IF(TabSLS[[#This Row],[R35]]+COUNTIF(TabSLS[[R1]:[R37]],TabSLS[[#This Row],[R35]])-1&lt;=Sitze_Ausschuss,"SITZ","PATT"),"")</f>
        <v/>
      </c>
      <c r="CA14" s="55" t="str">
        <f>IF(TabSLS[[#This Row],[R37]]&lt;=Sitze_Ausschuss,IF(TabSLS[[#This Row],[R37]]+COUNTIF(TabSLS[[R1]:[R37]],TabSLS[[#This Row],[R37]])-1&lt;=Sitze_Ausschuss,"SITZ","PATT"),"")</f>
        <v/>
      </c>
      <c r="CB14" s="56" t="b">
        <f>COUNTIF(TabSLS[[#This Row],[SP1]:[SP37]],"PATT")&gt;0</f>
        <v>1</v>
      </c>
      <c r="CC14" s="42">
        <f>IF(TabSLS[[#This Row],[Patt?]],(Sitze_Ausschuss-SUM(TabSLS[Sitze]))/TabSLS[[#Totals],[Patt?]],0)</f>
        <v>0.33333333333333331</v>
      </c>
      <c r="CD14" s="57">
        <f>TabSLS[[#This Row],[Patt?]]*IF(Pattaufloesung="Stimmen",TabPatt[[#This Row],[Stimmen]],TabPatt[[#This Row],[Loserfolg]])*1</f>
        <v>0</v>
      </c>
      <c r="CE14" s="58" t="b">
        <f>_xlfn.RANK.EQ(TabSLS[[#This Row],[Stimmen Gelost]],TabSLS[Stimmen Gelost],0)&lt;=(Sitze_Ausschuss-SUM(TabSLS[Sitze]))</f>
        <v>1</v>
      </c>
      <c r="CF14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4" s="3"/>
      <c r="CH14" s="45">
        <f>COUNTIF(TabDH[[#This Row],[SP1]:[SP19]],"SITZ")</f>
        <v>0</v>
      </c>
      <c r="CI14" s="46">
        <f>IF(TabDH[[#This Row],[Patt]],IF(Pattaufloesung="Los-Chance",TabDH[[#This Row],[Los Chance]],TabDH[[#This Row],[Pattgewinn]]+0),0)</f>
        <v>0</v>
      </c>
      <c r="CJ14" s="47">
        <f>Grunddaten[[#This Row],[Sitze im Hauptorgan]]/_xlfn.NUMBERVALUE(MID(INDEX(TabDH[[#Headers],[:1]:[:19]],COLUMN()-COLUMN(TabDH[[#Headers],[:1]])+1),2,3))</f>
        <v>1</v>
      </c>
      <c r="CK14" s="48">
        <f>Grunddaten[[#This Row],[Sitze im Hauptorgan]]/_xlfn.NUMBERVALUE(MID(INDEX(TabDH[[#Headers],[:1]:[:19]],COLUMN()-COLUMN(TabDH[[#Headers],[:1]])+1),2,3))</f>
        <v>0.5</v>
      </c>
      <c r="CL14" s="48">
        <f>Grunddaten[[#This Row],[Sitze im Hauptorgan]]/_xlfn.NUMBERVALUE(MID(INDEX(TabDH[[#Headers],[:1]:[:19]],COLUMN()-COLUMN(TabDH[[#Headers],[:1]])+1),2,3))</f>
        <v>0.33333333333333331</v>
      </c>
      <c r="CM14" s="48">
        <f>Grunddaten[[#This Row],[Sitze im Hauptorgan]]/_xlfn.NUMBERVALUE(MID(INDEX(TabDH[[#Headers],[:1]:[:19]],COLUMN()-COLUMN(TabDH[[#Headers],[:1]])+1),2,3))</f>
        <v>0.25</v>
      </c>
      <c r="CN14" s="48">
        <f>Grunddaten[[#This Row],[Sitze im Hauptorgan]]/_xlfn.NUMBERVALUE(MID(INDEX(TabDH[[#Headers],[:1]:[:19]],COLUMN()-COLUMN(TabDH[[#Headers],[:1]])+1),2,3))</f>
        <v>0.2</v>
      </c>
      <c r="CO14" s="48">
        <f>Grunddaten[[#This Row],[Sitze im Hauptorgan]]/_xlfn.NUMBERVALUE(MID(INDEX(TabDH[[#Headers],[:1]:[:19]],COLUMN()-COLUMN(TabDH[[#Headers],[:1]])+1),2,3))</f>
        <v>0.16666666666666666</v>
      </c>
      <c r="CP14" s="48">
        <f>Grunddaten[[#This Row],[Sitze im Hauptorgan]]/_xlfn.NUMBERVALUE(MID(INDEX(TabDH[[#Headers],[:1]:[:19]],COLUMN()-COLUMN(TabDH[[#Headers],[:1]])+1),2,3))</f>
        <v>0.14285714285714285</v>
      </c>
      <c r="CQ14" s="48">
        <f>Grunddaten[[#This Row],[Sitze im Hauptorgan]]/_xlfn.NUMBERVALUE(MID(INDEX(TabDH[[#Headers],[:1]:[:19]],COLUMN()-COLUMN(TabDH[[#Headers],[:1]])+1),2,3))</f>
        <v>0.125</v>
      </c>
      <c r="CR14" s="48">
        <f>Grunddaten[[#This Row],[Sitze im Hauptorgan]]/_xlfn.NUMBERVALUE(MID(INDEX(TabDH[[#Headers],[:1]:[:19]],COLUMN()-COLUMN(TabDH[[#Headers],[:1]])+1),2,3))</f>
        <v>0.1111111111111111</v>
      </c>
      <c r="CS14" s="48">
        <f>Grunddaten[[#This Row],[Sitze im Hauptorgan]]/_xlfn.NUMBERVALUE(MID(INDEX(TabDH[[#Headers],[:1]:[:19]],COLUMN()-COLUMN(TabDH[[#Headers],[:1]])+1),2,3))</f>
        <v>0.1</v>
      </c>
      <c r="CT14" s="48">
        <f>Grunddaten[[#This Row],[Sitze im Hauptorgan]]/_xlfn.NUMBERVALUE(MID(INDEX(TabDH[[#Headers],[:1]:[:19]],COLUMN()-COLUMN(TabDH[[#Headers],[:1]])+1),2,3))</f>
        <v>9.0909090909090912E-2</v>
      </c>
      <c r="CU14" s="48">
        <f>Grunddaten[[#This Row],[Sitze im Hauptorgan]]/_xlfn.NUMBERVALUE(MID(INDEX(TabDH[[#Headers],[:1]:[:19]],COLUMN()-COLUMN(TabDH[[#Headers],[:1]])+1),2,3))</f>
        <v>8.3333333333333329E-2</v>
      </c>
      <c r="CV14" s="48">
        <f>Grunddaten[[#This Row],[Sitze im Hauptorgan]]/_xlfn.NUMBERVALUE(MID(INDEX(TabDH[[#Headers],[:1]:[:19]],COLUMN()-COLUMN(TabDH[[#Headers],[:1]])+1),2,3))</f>
        <v>7.6923076923076927E-2</v>
      </c>
      <c r="CW14" s="48">
        <f>Grunddaten[[#This Row],[Sitze im Hauptorgan]]/_xlfn.NUMBERVALUE(MID(INDEX(TabDH[[#Headers],[:1]:[:19]],COLUMN()-COLUMN(TabDH[[#Headers],[:1]])+1),2,3))</f>
        <v>7.1428571428571425E-2</v>
      </c>
      <c r="CX14" s="48">
        <f>Grunddaten[[#This Row],[Sitze im Hauptorgan]]/_xlfn.NUMBERVALUE(MID(INDEX(TabDH[[#Headers],[:1]:[:19]],COLUMN()-COLUMN(TabDH[[#Headers],[:1]])+1),2,3))</f>
        <v>6.6666666666666666E-2</v>
      </c>
      <c r="CY14" s="48">
        <f>Grunddaten[[#This Row],[Sitze im Hauptorgan]]/_xlfn.NUMBERVALUE(MID(INDEX(TabDH[[#Headers],[:1]:[:19]],COLUMN()-COLUMN(TabDH[[#Headers],[:1]])+1),2,3))</f>
        <v>6.25E-2</v>
      </c>
      <c r="CZ14" s="48">
        <f>Grunddaten[[#This Row],[Sitze im Hauptorgan]]/_xlfn.NUMBERVALUE(MID(INDEX(TabDH[[#Headers],[:1]:[:19]],COLUMN()-COLUMN(TabDH[[#Headers],[:1]])+1),2,3))</f>
        <v>5.8823529411764705E-2</v>
      </c>
      <c r="DA14" s="48">
        <f>Grunddaten[[#This Row],[Sitze im Hauptorgan]]/_xlfn.NUMBERVALUE(MID(INDEX(TabDH[[#Headers],[:1]:[:19]],COLUMN()-COLUMN(TabDH[[#Headers],[:1]])+1),2,3))</f>
        <v>5.5555555555555552E-2</v>
      </c>
      <c r="DB14" s="49">
        <f>Grunddaten[[#This Row],[Sitze im Hauptorgan]]/_xlfn.NUMBERVALUE(MID(INDEX(TabDH[[#Headers],[:1]:[:19]],COLUMN()-COLUMN(TabDH[[#Headers],[:1]])+1),2,3))</f>
        <v>5.2631578947368418E-2</v>
      </c>
      <c r="DC14" s="50">
        <f>_xlfn.RANK.EQ(TabDH[[#This Row],[:1]],TabDH[[:1]:[:19]],0)</f>
        <v>16</v>
      </c>
      <c r="DD14" s="51">
        <f>_xlfn.RANK.EQ(TabDH[[#This Row],[:2]],TabDH[[:1]:[:19]],0)</f>
        <v>40</v>
      </c>
      <c r="DE14" s="51">
        <f>_xlfn.RANK.EQ(TabDH[[#This Row],[:3]],TabDH[[:1]:[:19]],0)</f>
        <v>64</v>
      </c>
      <c r="DF14" s="51">
        <f>_xlfn.RANK.EQ(TabDH[[#This Row],[:4]],TabDH[[:1]:[:19]],0)</f>
        <v>84</v>
      </c>
      <c r="DG14" s="51">
        <f>_xlfn.RANK.EQ(TabDH[[#This Row],[:5]],TabDH[[:1]:[:19]],0)</f>
        <v>97</v>
      </c>
      <c r="DH14" s="51">
        <f>_xlfn.RANK.EQ(TabDH[[#This Row],[:6]],TabDH[[:1]:[:19]],0)</f>
        <v>106</v>
      </c>
      <c r="DI14" s="51">
        <f>_xlfn.RANK.EQ(TabDH[[#This Row],[:7]],TabDH[[:1]:[:19]],0)</f>
        <v>114</v>
      </c>
      <c r="DJ14" s="51">
        <f>_xlfn.RANK.EQ(TabDH[[#This Row],[:8]],TabDH[[:1]:[:19]],0)</f>
        <v>120</v>
      </c>
      <c r="DK14" s="51">
        <f>_xlfn.RANK.EQ(TabDH[[#This Row],[:9]],TabDH[[:1]:[:19]],0)</f>
        <v>126</v>
      </c>
      <c r="DL14" s="51">
        <f>_xlfn.RANK.EQ(TabDH[[#This Row],[:10]],TabDH[[:1]:[:19]],0)</f>
        <v>132</v>
      </c>
      <c r="DM14" s="51">
        <f>_xlfn.RANK.EQ(TabDH[[#This Row],[:11]],TabDH[[:1]:[:19]],0)</f>
        <v>136</v>
      </c>
      <c r="DN14" s="51">
        <f>_xlfn.RANK.EQ(TabDH[[#This Row],[:12]],TabDH[[:1]:[:19]],0)</f>
        <v>140</v>
      </c>
      <c r="DO14" s="51">
        <f>_xlfn.RANK.EQ(TabDH[[#This Row],[:13]],TabDH[[:1]:[:19]],0)</f>
        <v>144</v>
      </c>
      <c r="DP14" s="51">
        <f>_xlfn.RANK.EQ(TabDH[[#This Row],[:14]],TabDH[[:1]:[:19]],0)</f>
        <v>148</v>
      </c>
      <c r="DQ14" s="51">
        <f>_xlfn.RANK.EQ(TabDH[[#This Row],[:15]],TabDH[[:1]:[:19]],0)</f>
        <v>152</v>
      </c>
      <c r="DR14" s="51">
        <f>_xlfn.RANK.EQ(TabDH[[#This Row],[:16]],TabDH[[:1]:[:19]],0)</f>
        <v>156</v>
      </c>
      <c r="DS14" s="51">
        <f>_xlfn.RANK.EQ(TabDH[[#This Row],[:17]],TabDH[[:1]:[:19]],0)</f>
        <v>160</v>
      </c>
      <c r="DT14" s="51">
        <f>_xlfn.RANK.EQ(TabDH[[#This Row],[:18]],TabDH[[:1]:[:19]],0)</f>
        <v>164</v>
      </c>
      <c r="DU14" s="52">
        <f>_xlfn.RANK.EQ(TabDH[[#This Row],[:19]],TabDH[[:1]:[:19]],0)</f>
        <v>168</v>
      </c>
      <c r="DV14" s="53" t="str">
        <f>IF(TabDH[[#This Row],[R1]]&lt;=Sitze_Ausschuss,IF(TabDH[[#This Row],[R1]]+COUNTIF(TabDH[[R1]:[R19]],TabDH[[#This Row],[R1]])-1&lt;=Sitze_Ausschuss,"SITZ","PATT"),"")</f>
        <v/>
      </c>
      <c r="DW14" s="54" t="str">
        <f>IF(TabDH[[#This Row],[R2]]&lt;=Sitze_Ausschuss,IF(TabDH[[#This Row],[R2]]+COUNTIF(TabDH[[R1]:[R19]],TabDH[[#This Row],[R2]])-1&lt;=Sitze_Ausschuss,"SITZ","PATT"),"")</f>
        <v/>
      </c>
      <c r="DX14" s="54" t="str">
        <f>IF(TabDH[[#This Row],[R3]]&lt;=Sitze_Ausschuss,IF(TabDH[[#This Row],[R3]]+COUNTIF(TabDH[[R1]:[R19]],TabDH[[#This Row],[R3]])-1&lt;=Sitze_Ausschuss,"SITZ","PATT"),"")</f>
        <v/>
      </c>
      <c r="DY14" s="54" t="str">
        <f>IF(TabDH[[#This Row],[R4]]&lt;=Sitze_Ausschuss,IF(TabDH[[#This Row],[R4]]+COUNTIF(TabDH[[R1]:[R19]],TabDH[[#This Row],[R4]])-1&lt;=Sitze_Ausschuss,"SITZ","PATT"),"")</f>
        <v/>
      </c>
      <c r="DZ14" s="54" t="str">
        <f>IF(TabDH[[#This Row],[R5]]&lt;=Sitze_Ausschuss,IF(TabDH[[#This Row],[R5]]+COUNTIF(TabDH[[R1]:[R19]],TabDH[[#This Row],[R5]])-1&lt;=Sitze_Ausschuss,"SITZ","PATT"),"")</f>
        <v/>
      </c>
      <c r="EA14" s="54" t="str">
        <f>IF(TabDH[[#This Row],[R6]]&lt;=Sitze_Ausschuss,IF(TabDH[[#This Row],[R6]]+COUNTIF(TabDH[[R1]:[R19]],TabDH[[#This Row],[R6]])-1&lt;=Sitze_Ausschuss,"SITZ","PATT"),"")</f>
        <v/>
      </c>
      <c r="EB14" s="54" t="str">
        <f>IF(TabDH[[#This Row],[R7]]&lt;=Sitze_Ausschuss,IF(TabDH[[#This Row],[R7]]+COUNTIF(TabDH[[R1]:[R19]],TabDH[[#This Row],[R7]])-1&lt;=Sitze_Ausschuss,"SITZ","PATT"),"")</f>
        <v/>
      </c>
      <c r="EC14" s="54" t="str">
        <f>IF(TabDH[[#This Row],[R8]]&lt;=Sitze_Ausschuss,IF(TabDH[[#This Row],[R8]]+COUNTIF(TabDH[[R1]:[R19]],TabDH[[#This Row],[R8]])-1&lt;=Sitze_Ausschuss,"SITZ","PATT"),"")</f>
        <v/>
      </c>
      <c r="ED14" s="54" t="str">
        <f>IF(TabDH[[#This Row],[R9]]&lt;=Sitze_Ausschuss,IF(TabDH[[#This Row],[R9]]+COUNTIF(TabDH[[R1]:[R19]],TabDH[[#This Row],[R9]])-1&lt;=Sitze_Ausschuss,"SITZ","PATT"),"")</f>
        <v/>
      </c>
      <c r="EE14" s="54" t="str">
        <f>IF(TabDH[[#This Row],[R10]]&lt;=Sitze_Ausschuss,IF(TabDH[[#This Row],[R10]]+COUNTIF(TabDH[[R1]:[R19]],TabDH[[#This Row],[R10]])-1&lt;=Sitze_Ausschuss,"SITZ","PATT"),"")</f>
        <v/>
      </c>
      <c r="EF14" s="54" t="str">
        <f>IF(TabDH[[#This Row],[R11]]&lt;=Sitze_Ausschuss,IF(TabDH[[#This Row],[R11]]+COUNTIF(TabDH[[R1]:[R19]],TabDH[[#This Row],[R11]])-1&lt;=Sitze_Ausschuss,"SITZ","PATT"),"")</f>
        <v/>
      </c>
      <c r="EG14" s="54" t="str">
        <f>IF(TabDH[[#This Row],[R12]]&lt;=Sitze_Ausschuss,IF(TabDH[[#This Row],[R12]]+COUNTIF(TabDH[[R1]:[R19]],TabDH[[#This Row],[R12]])-1&lt;=Sitze_Ausschuss,"SITZ","PATT"),"")</f>
        <v/>
      </c>
      <c r="EH14" s="54" t="str">
        <f>IF(TabDH[[#This Row],[R13]]&lt;=Sitze_Ausschuss,IF(TabDH[[#This Row],[R13]]+COUNTIF(TabDH[[R1]:[R19]],TabDH[[#This Row],[R13]])-1&lt;=Sitze_Ausschuss,"SITZ","PATT"),"")</f>
        <v/>
      </c>
      <c r="EI14" s="54" t="str">
        <f>IF(TabDH[[#This Row],[R14]]&lt;=Sitze_Ausschuss,IF(TabDH[[#This Row],[R14]]+COUNTIF(TabDH[[R1]:[R19]],TabDH[[#This Row],[R14]])-1&lt;=Sitze_Ausschuss,"SITZ","PATT"),"")</f>
        <v/>
      </c>
      <c r="EJ14" s="54" t="str">
        <f>IF(TabDH[[#This Row],[R15]]&lt;=Sitze_Ausschuss,IF(TabDH[[#This Row],[R15]]+COUNTIF(TabDH[[R1]:[R19]],TabDH[[#This Row],[R15]])-1&lt;=Sitze_Ausschuss,"SITZ","PATT"),"")</f>
        <v/>
      </c>
      <c r="EK14" s="54" t="str">
        <f>IF(TabDH[[#This Row],[R16]]&lt;=Sitze_Ausschuss,IF(TabDH[[#This Row],[R16]]+COUNTIF(TabDH[[R1]:[R19]],TabDH[[#This Row],[R16]])-1&lt;=Sitze_Ausschuss,"SITZ","PATT"),"")</f>
        <v/>
      </c>
      <c r="EL14" s="54" t="str">
        <f>IF(TabDH[[#This Row],[R17]]&lt;=Sitze_Ausschuss,IF(TabDH[[#This Row],[R17]]+COUNTIF(TabDH[[R1]:[R19]],TabDH[[#This Row],[R17]])-1&lt;=Sitze_Ausschuss,"SITZ","PATT"),"")</f>
        <v/>
      </c>
      <c r="EM14" s="54" t="str">
        <f>IF(TabDH[[#This Row],[R18]]&lt;=Sitze_Ausschuss,IF(TabDH[[#This Row],[R18]]+COUNTIF(TabDH[[R1]:[R19]],TabDH[[#This Row],[R18]])-1&lt;=Sitze_Ausschuss,"SITZ","PATT"),"")</f>
        <v/>
      </c>
      <c r="EN14" s="54" t="str">
        <f>IF(TabDH[[#This Row],[R19]]&lt;=Sitze_Ausschuss,IF(TabDH[[#This Row],[R19]]+COUNTIF(TabDH[[R1]:[R19]],TabDH[[#This Row],[R19]])-1&lt;=Sitze_Ausschuss,"SITZ","PATT"),"")</f>
        <v/>
      </c>
      <c r="EO14" s="56" t="b">
        <f>COUNTIF(TabDH[[#This Row],[SP1]:[SP19]],"PATT")&gt;0</f>
        <v>0</v>
      </c>
      <c r="EP14" s="42">
        <f>IF(TabDH[[#This Row],[Patt]],(Sitze_Ausschuss-SUM(TabDH[Sitze]))/TabDH[[#Totals],[Patt]],0)</f>
        <v>0</v>
      </c>
      <c r="EQ14" s="57">
        <f>TabDH[[#This Row],[Patt]]*IF(Pattaufloesung="Stimmen",TabPatt[[#This Row],[Stimmen]],TabPatt[[#This Row],[Loserfolg]])*1</f>
        <v>0</v>
      </c>
      <c r="ER14" s="58" t="b">
        <f>_xlfn.RANK.EQ(TabDH[[#This Row],[Stimmen/Gelost]],TabDH[Stimmen/Gelost],0)&lt;=(Sitze_Ausschuss-SUM(TabDH[Sitze]))</f>
        <v>1</v>
      </c>
      <c r="ES14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4" s="3"/>
      <c r="EU14" s="60" t="str">
        <f>Grunddaten[[#This Row],[Partei/Wählergruppe]]&amp;""</f>
        <v>PARTEI Y</v>
      </c>
      <c r="EV14" s="85">
        <v>1000</v>
      </c>
      <c r="EW14" s="66" t="b">
        <v>0</v>
      </c>
      <c r="EX14" s="3"/>
      <c r="EY14" s="3"/>
      <c r="EZ14" s="3"/>
      <c r="FA14" s="3"/>
      <c r="FB14" s="3"/>
    </row>
    <row r="15" spans="1:164" x14ac:dyDescent="0.25">
      <c r="A15" s="3"/>
      <c r="B15" s="67" t="s">
        <v>162</v>
      </c>
      <c r="C15" s="85">
        <v>0</v>
      </c>
      <c r="D15" s="83">
        <f>Grunddaten[[#This Row],[Sitze im Hauptorgan]]/Grunddaten[[#Totals],[Sitze im Hauptorgan]]*Sitze_Ausschuss</f>
        <v>0</v>
      </c>
      <c r="E15" s="33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</v>
      </c>
      <c r="F15" s="61" t="str">
        <f t="shared" si="0"/>
        <v>OK</v>
      </c>
      <c r="G15" s="62" t="str">
        <f>IF(TabSLS[[#This Row],[QK verletzt]],"NOK","OK")</f>
        <v>OK</v>
      </c>
      <c r="H15" s="63" t="str">
        <f>IF(TabDH[[#This Row],[QK verletzt]],"NOK","OK")</f>
        <v>OK</v>
      </c>
      <c r="I15" s="3"/>
      <c r="J15" s="37">
        <f>TabHN[[#This Row],[S ganz]]+IF(NOT(TabHN[[#This Row],[Patt]]),TabHN[[#This Row],[Restsitz]],0)</f>
        <v>0</v>
      </c>
      <c r="K15" s="38">
        <f>IF(TabHN[[#This Row],[Patt]],IF(Pattaufloesung="Los-Chance",TabHN[[#This Row],[Los Chance]],TabHN[[#This Row],[Pattgewinn]]+0),0)</f>
        <v>0</v>
      </c>
      <c r="L15" s="39">
        <f>INT(Grunddaten[[#This Row],[Proporzgenaue Zahl Ausschuss]])</f>
        <v>0</v>
      </c>
      <c r="M15" s="40">
        <f>ROUND(Grunddaten[[#This Row],[Proporzgenaue Zahl Ausschuss]]-TabHN[[#This Row],[S ganz]],4)</f>
        <v>0</v>
      </c>
      <c r="N15" s="41">
        <f>_xlfn.RANK.EQ(TabHN[[#This Row],[S Rest]],TabHN[S Rest],0)</f>
        <v>10</v>
      </c>
      <c r="O15" s="39">
        <f>IF(TabHN[[#This Row],[Rng Rest]]&lt;=TabHN[[#Totals],[S Rest]],1,0)</f>
        <v>0</v>
      </c>
      <c r="P15" s="39" t="b">
        <f>AND(TabHN[[#This Row],[Restsitz]]=1,(COUNTIF(TabHN[Rng Rest],TabHN[[#This Row],[Rng Rest]])+TabHN[[#This Row],[Rng Rest]]-1)&gt;TabHN[[#Totals],[S Rest]])</f>
        <v>0</v>
      </c>
      <c r="Q15" s="42">
        <f>IF(TabHN[[#This Row],[Patt]],(Sitze_Ausschuss-SUM(TabHN[Sitze]))/TabHN[[#Totals],[Patt]],0)</f>
        <v>0</v>
      </c>
      <c r="R15" s="43">
        <f>TabHN[[#This Row],[Patt]]*IF(Pattaufloesung="Stimmen",TabPatt[[#This Row],[Stimmen]],TabPatt[[#This Row],[Loserfolg]])*1</f>
        <v>0</v>
      </c>
      <c r="S15" s="44" t="b">
        <f>_xlfn.RANK.EQ(TabHN[[#This Row],[Stimmen/Gelost]],TabHN[Stimmen/Gelost],0)&lt;=(Sitze_Ausschuss-SUM(TabHN[Sitze]))</f>
        <v>1</v>
      </c>
      <c r="T15" s="3"/>
      <c r="U15" s="45">
        <f>COUNTIF(TabSLS[[#This Row],[SP1]:[SP37]],"SITZ")</f>
        <v>0</v>
      </c>
      <c r="V15" s="46">
        <f>IF(TabSLS[[#This Row],[Patt?]],IF(Pattaufloesung="Los-Chance",TabSLS[[#This Row],[Los Chance]],TabSLS[[#This Row],[Pattgewinn]]+0),0)</f>
        <v>0</v>
      </c>
      <c r="W15" s="47">
        <f>Grunddaten[[#This Row],[Sitze im Hauptorgan]]/_xlfn.NUMBERVALUE(MID(INDEX(TabSLS[[#Headers],[:1]:[:37]],COLUMN()-COLUMN(TabSLS[[#Headers],[:1]])+1),2,3))</f>
        <v>0</v>
      </c>
      <c r="X15" s="48">
        <f>Grunddaten[[#This Row],[Sitze im Hauptorgan]]/_xlfn.NUMBERVALUE(MID(INDEX(TabSLS[[#Headers],[:1]:[:37]],COLUMN()-COLUMN(TabSLS[[#Headers],[:1]])+1),2,3))</f>
        <v>0</v>
      </c>
      <c r="Y15" s="48">
        <f>Grunddaten[[#This Row],[Sitze im Hauptorgan]]/_xlfn.NUMBERVALUE(MID(INDEX(TabSLS[[#Headers],[:1]:[:37]],COLUMN()-COLUMN(TabSLS[[#Headers],[:1]])+1),2,3))</f>
        <v>0</v>
      </c>
      <c r="Z15" s="48">
        <f>Grunddaten[[#This Row],[Sitze im Hauptorgan]]/_xlfn.NUMBERVALUE(MID(INDEX(TabSLS[[#Headers],[:1]:[:37]],COLUMN()-COLUMN(TabSLS[[#Headers],[:1]])+1),2,3))</f>
        <v>0</v>
      </c>
      <c r="AA15" s="48">
        <f>Grunddaten[[#This Row],[Sitze im Hauptorgan]]/_xlfn.NUMBERVALUE(MID(INDEX(TabSLS[[#Headers],[:1]:[:37]],COLUMN()-COLUMN(TabSLS[[#Headers],[:1]])+1),2,3))</f>
        <v>0</v>
      </c>
      <c r="AB15" s="48">
        <f>Grunddaten[[#This Row],[Sitze im Hauptorgan]]/_xlfn.NUMBERVALUE(MID(INDEX(TabSLS[[#Headers],[:1]:[:37]],COLUMN()-COLUMN(TabSLS[[#Headers],[:1]])+1),2,3))</f>
        <v>0</v>
      </c>
      <c r="AC15" s="48">
        <f>Grunddaten[[#This Row],[Sitze im Hauptorgan]]/_xlfn.NUMBERVALUE(MID(INDEX(TabSLS[[#Headers],[:1]:[:37]],COLUMN()-COLUMN(TabSLS[[#Headers],[:1]])+1),2,3))</f>
        <v>0</v>
      </c>
      <c r="AD15" s="48">
        <f>Grunddaten[[#This Row],[Sitze im Hauptorgan]]/_xlfn.NUMBERVALUE(MID(INDEX(TabSLS[[#Headers],[:1]:[:37]],COLUMN()-COLUMN(TabSLS[[#Headers],[:1]])+1),2,3))</f>
        <v>0</v>
      </c>
      <c r="AE15" s="48">
        <f>Grunddaten[[#This Row],[Sitze im Hauptorgan]]/_xlfn.NUMBERVALUE(MID(INDEX(TabSLS[[#Headers],[:1]:[:37]],COLUMN()-COLUMN(TabSLS[[#Headers],[:1]])+1),2,3))</f>
        <v>0</v>
      </c>
      <c r="AF15" s="48">
        <f>Grunddaten[[#This Row],[Sitze im Hauptorgan]]/_xlfn.NUMBERVALUE(MID(INDEX(TabSLS[[#Headers],[:1]:[:37]],COLUMN()-COLUMN(TabSLS[[#Headers],[:1]])+1),2,3))</f>
        <v>0</v>
      </c>
      <c r="AG15" s="48">
        <f>Grunddaten[[#This Row],[Sitze im Hauptorgan]]/_xlfn.NUMBERVALUE(MID(INDEX(TabSLS[[#Headers],[:1]:[:37]],COLUMN()-COLUMN(TabSLS[[#Headers],[:1]])+1),2,3))</f>
        <v>0</v>
      </c>
      <c r="AH15" s="48">
        <f>Grunddaten[[#This Row],[Sitze im Hauptorgan]]/_xlfn.NUMBERVALUE(MID(INDEX(TabSLS[[#Headers],[:1]:[:37]],COLUMN()-COLUMN(TabSLS[[#Headers],[:1]])+1),2,3))</f>
        <v>0</v>
      </c>
      <c r="AI15" s="48">
        <f>Grunddaten[[#This Row],[Sitze im Hauptorgan]]/_xlfn.NUMBERVALUE(MID(INDEX(TabSLS[[#Headers],[:1]:[:37]],COLUMN()-COLUMN(TabSLS[[#Headers],[:1]])+1),2,3))</f>
        <v>0</v>
      </c>
      <c r="AJ15" s="48">
        <f>Grunddaten[[#This Row],[Sitze im Hauptorgan]]/_xlfn.NUMBERVALUE(MID(INDEX(TabSLS[[#Headers],[:1]:[:37]],COLUMN()-COLUMN(TabSLS[[#Headers],[:1]])+1),2,3))</f>
        <v>0</v>
      </c>
      <c r="AK15" s="48">
        <f>Grunddaten[[#This Row],[Sitze im Hauptorgan]]/_xlfn.NUMBERVALUE(MID(INDEX(TabSLS[[#Headers],[:1]:[:37]],COLUMN()-COLUMN(TabSLS[[#Headers],[:1]])+1),2,3))</f>
        <v>0</v>
      </c>
      <c r="AL15" s="48">
        <f>Grunddaten[[#This Row],[Sitze im Hauptorgan]]/_xlfn.NUMBERVALUE(MID(INDEX(TabSLS[[#Headers],[:1]:[:37]],COLUMN()-COLUMN(TabSLS[[#Headers],[:1]])+1),2,3))</f>
        <v>0</v>
      </c>
      <c r="AM15" s="48">
        <f>Grunddaten[[#This Row],[Sitze im Hauptorgan]]/_xlfn.NUMBERVALUE(MID(INDEX(TabSLS[[#Headers],[:1]:[:37]],COLUMN()-COLUMN(TabSLS[[#Headers],[:1]])+1),2,3))</f>
        <v>0</v>
      </c>
      <c r="AN15" s="48">
        <f>Grunddaten[[#This Row],[Sitze im Hauptorgan]]/_xlfn.NUMBERVALUE(MID(INDEX(TabSLS[[#Headers],[:1]:[:37]],COLUMN()-COLUMN(TabSLS[[#Headers],[:1]])+1),2,3))</f>
        <v>0</v>
      </c>
      <c r="AO15" s="49">
        <f>Grunddaten[[#This Row],[Sitze im Hauptorgan]]/_xlfn.NUMBERVALUE(MID(INDEX(TabSLS[[#Headers],[:1]:[:37]],COLUMN()-COLUMN(TabSLS[[#Headers],[:1]])+1),2,3))</f>
        <v>0</v>
      </c>
      <c r="AP15" s="50">
        <f>_xlfn.RANK.EQ(TabSLS[[#This Row],[:1]],TabSLS[[:1]:[:37]],0)</f>
        <v>172</v>
      </c>
      <c r="AQ15" s="51">
        <f>_xlfn.RANK.EQ(TabSLS[[#This Row],[:3]],TabSLS[[:1]:[:37]],0)</f>
        <v>172</v>
      </c>
      <c r="AR15" s="51">
        <f>_xlfn.RANK.EQ(TabSLS[[#This Row],[:5]],TabSLS[[:1]:[:37]],0)</f>
        <v>172</v>
      </c>
      <c r="AS15" s="51">
        <f>_xlfn.RANK.EQ(TabSLS[[#This Row],[:7]],TabSLS[[:1]:[:37]],0)</f>
        <v>172</v>
      </c>
      <c r="AT15" s="51">
        <f>_xlfn.RANK.EQ(TabSLS[[#This Row],[:9]],TabSLS[[:1]:[:37]],0)</f>
        <v>172</v>
      </c>
      <c r="AU15" s="51">
        <f>_xlfn.RANK.EQ(TabSLS[[#This Row],[:11]],TabSLS[[:1]:[:37]],0)</f>
        <v>172</v>
      </c>
      <c r="AV15" s="51">
        <f>_xlfn.RANK.EQ(TabSLS[[#This Row],[:13]],TabSLS[[:1]:[:37]],0)</f>
        <v>172</v>
      </c>
      <c r="AW15" s="51">
        <f>_xlfn.RANK.EQ(TabSLS[[#This Row],[:15]],TabSLS[[:1]:[:37]],0)</f>
        <v>172</v>
      </c>
      <c r="AX15" s="51">
        <f>_xlfn.RANK.EQ(TabSLS[[#This Row],[:17]],TabSLS[[:1]:[:37]],0)</f>
        <v>172</v>
      </c>
      <c r="AY15" s="51">
        <f>_xlfn.RANK.EQ(TabSLS[[#This Row],[:19]],TabSLS[[:1]:[:37]],0)</f>
        <v>172</v>
      </c>
      <c r="AZ15" s="51">
        <f>_xlfn.RANK.EQ(TabSLS[[#This Row],[:21]],TabSLS[[:1]:[:37]],0)</f>
        <v>172</v>
      </c>
      <c r="BA15" s="51">
        <f>_xlfn.RANK.EQ(TabSLS[[#This Row],[:23]],TabSLS[[:1]:[:37]],0)</f>
        <v>172</v>
      </c>
      <c r="BB15" s="51">
        <f>_xlfn.RANK.EQ(TabSLS[[#This Row],[:25]],TabSLS[[:1]:[:37]],0)</f>
        <v>172</v>
      </c>
      <c r="BC15" s="51">
        <f>_xlfn.RANK.EQ(TabSLS[[#This Row],[:27]],TabSLS[[:1]:[:37]],0)</f>
        <v>172</v>
      </c>
      <c r="BD15" s="51">
        <f>_xlfn.RANK.EQ(TabSLS[[#This Row],[:29]],TabSLS[[:1]:[:37]],0)</f>
        <v>172</v>
      </c>
      <c r="BE15" s="51">
        <f>_xlfn.RANK.EQ(TabSLS[[#This Row],[:31]],TabSLS[[:1]:[:37]],0)</f>
        <v>172</v>
      </c>
      <c r="BF15" s="51">
        <f>_xlfn.RANK.EQ(TabSLS[[#This Row],[:33]],TabSLS[[:1]:[:37]],0)</f>
        <v>172</v>
      </c>
      <c r="BG15" s="51">
        <f>_xlfn.RANK.EQ(TabSLS[[#This Row],[:35]],TabSLS[[:1]:[:37]],0)</f>
        <v>172</v>
      </c>
      <c r="BH15" s="52">
        <f>_xlfn.RANK.EQ(TabSLS[[#This Row],[:37]],TabSLS[[:1]:[:37]],0)</f>
        <v>172</v>
      </c>
      <c r="BI15" s="53" t="str">
        <f>IF(TabSLS[[#This Row],[R1]]&lt;=Sitze_Ausschuss,IF(TabSLS[[#This Row],[R1]]+COUNTIF(TabSLS[[R1]:[R37]],TabSLS[[#This Row],[R1]])-1&lt;=Sitze_Ausschuss,"SITZ","PATT"),"")</f>
        <v/>
      </c>
      <c r="BJ15" s="54" t="str">
        <f>IF(TabSLS[[#This Row],[R3]]&lt;=Sitze_Ausschuss,IF(TabSLS[[#This Row],[R3]]+COUNTIF(TabSLS[[R1]:[R37]],TabSLS[[#This Row],[R3]])-1&lt;=Sitze_Ausschuss,"SITZ","PATT"),"")</f>
        <v/>
      </c>
      <c r="BK15" s="54" t="str">
        <f>IF(TabSLS[[#This Row],[R5]]&lt;=Sitze_Ausschuss,IF(TabSLS[[#This Row],[R5]]+COUNTIF(TabSLS[[R1]:[R37]],TabSLS[[#This Row],[R5]])-1&lt;=Sitze_Ausschuss,"SITZ","PATT"),"")</f>
        <v/>
      </c>
      <c r="BL15" s="54" t="str">
        <f>IF(TabSLS[[#This Row],[R7]]&lt;=Sitze_Ausschuss,IF(TabSLS[[#This Row],[R7]]+COUNTIF(TabSLS[[R1]:[R37]],TabSLS[[#This Row],[R7]])-1&lt;=Sitze_Ausschuss,"SITZ","PATT"),"")</f>
        <v/>
      </c>
      <c r="BM15" s="54" t="str">
        <f>IF(TabSLS[[#This Row],[R9]]&lt;=Sitze_Ausschuss,IF(TabSLS[[#This Row],[R9]]+COUNTIF(TabSLS[[R1]:[R37]],TabSLS[[#This Row],[R9]])-1&lt;=Sitze_Ausschuss,"SITZ","PATT"),"")</f>
        <v/>
      </c>
      <c r="BN15" s="54" t="str">
        <f>IF(TabSLS[[#This Row],[R11]]&lt;=Sitze_Ausschuss,IF(TabSLS[[#This Row],[R11]]+COUNTIF(TabSLS[[R1]:[R37]],TabSLS[[#This Row],[R11]])-1&lt;=Sitze_Ausschuss,"SITZ","PATT"),"")</f>
        <v/>
      </c>
      <c r="BO15" s="54" t="str">
        <f>IF(TabSLS[[#This Row],[R13]]&lt;=Sitze_Ausschuss,IF(TabSLS[[#This Row],[R13]]+COUNTIF(TabSLS[[R1]:[R37]],TabSLS[[#This Row],[R13]])-1&lt;=Sitze_Ausschuss,"SITZ","PATT"),"")</f>
        <v/>
      </c>
      <c r="BP15" s="54" t="str">
        <f>IF(TabSLS[[#This Row],[R15]]&lt;=Sitze_Ausschuss,IF(TabSLS[[#This Row],[R15]]+COUNTIF(TabSLS[[R1]:[R37]],TabSLS[[#This Row],[R15]])-1&lt;=Sitze_Ausschuss,"SITZ","PATT"),"")</f>
        <v/>
      </c>
      <c r="BQ15" s="54" t="str">
        <f>IF(TabSLS[[#This Row],[R17]]&lt;=Sitze_Ausschuss,IF(TabSLS[[#This Row],[R17]]+COUNTIF(TabSLS[[R1]:[R37]],TabSLS[[#This Row],[R17]])-1&lt;=Sitze_Ausschuss,"SITZ","PATT"),"")</f>
        <v/>
      </c>
      <c r="BR15" s="54" t="str">
        <f>IF(TabSLS[[#This Row],[R19]]&lt;=Sitze_Ausschuss,IF(TabSLS[[#This Row],[R19]]+COUNTIF(TabSLS[[R1]:[R37]],TabSLS[[#This Row],[R19]])-1&lt;=Sitze_Ausschuss,"SITZ","PATT"),"")</f>
        <v/>
      </c>
      <c r="BS15" s="54" t="str">
        <f>IF(TabSLS[[#This Row],[R21]]&lt;=Sitze_Ausschuss,IF(TabSLS[[#This Row],[R21]]+COUNTIF(TabSLS[[R1]:[R37]],TabSLS[[#This Row],[R21]])-1&lt;=Sitze_Ausschuss,"SITZ","PATT"),"")</f>
        <v/>
      </c>
      <c r="BT15" s="54" t="str">
        <f>IF(TabSLS[[#This Row],[R23]]&lt;=Sitze_Ausschuss,IF(TabSLS[[#This Row],[R23]]+COUNTIF(TabSLS[[R1]:[R37]],TabSLS[[#This Row],[R23]])-1&lt;=Sitze_Ausschuss,"SITZ","PATT"),"")</f>
        <v/>
      </c>
      <c r="BU15" s="54" t="str">
        <f>IF(TabSLS[[#This Row],[R25]]&lt;=Sitze_Ausschuss,IF(TabSLS[[#This Row],[R25]]+COUNTIF(TabSLS[[R1]:[R37]],TabSLS[[#This Row],[R25]])-1&lt;=Sitze_Ausschuss,"SITZ","PATT"),"")</f>
        <v/>
      </c>
      <c r="BV15" s="54" t="str">
        <f>IF(TabSLS[[#This Row],[R27]]&lt;=Sitze_Ausschuss,IF(TabSLS[[#This Row],[R27]]+COUNTIF(TabSLS[[R1]:[R37]],TabSLS[[#This Row],[R27]])-1&lt;=Sitze_Ausschuss,"SITZ","PATT"),"")</f>
        <v/>
      </c>
      <c r="BW15" s="54" t="str">
        <f>IF(TabSLS[[#This Row],[R29]]&lt;=Sitze_Ausschuss,IF(TabSLS[[#This Row],[R29]]+COUNTIF(TabSLS[[R1]:[R37]],TabSLS[[#This Row],[R29]])-1&lt;=Sitze_Ausschuss,"SITZ","PATT"),"")</f>
        <v/>
      </c>
      <c r="BX15" s="54" t="str">
        <f>IF(TabSLS[[#This Row],[R31]]&lt;=Sitze_Ausschuss,IF(TabSLS[[#This Row],[R31]]+COUNTIF(TabSLS[[R1]:[R37]],TabSLS[[#This Row],[R31]])-1&lt;=Sitze_Ausschuss,"SITZ","PATT"),"")</f>
        <v/>
      </c>
      <c r="BY15" s="54" t="str">
        <f>IF(TabSLS[[#This Row],[R33]]&lt;=Sitze_Ausschuss,IF(TabSLS[[#This Row],[R33]]+COUNTIF(TabSLS[[R1]:[R37]],TabSLS[[#This Row],[R33]])-1&lt;=Sitze_Ausschuss,"SITZ","PATT"),"")</f>
        <v/>
      </c>
      <c r="BZ15" s="54" t="str">
        <f>IF(TabSLS[[#This Row],[R35]]&lt;=Sitze_Ausschuss,IF(TabSLS[[#This Row],[R35]]+COUNTIF(TabSLS[[R1]:[R37]],TabSLS[[#This Row],[R35]])-1&lt;=Sitze_Ausschuss,"SITZ","PATT"),"")</f>
        <v/>
      </c>
      <c r="CA15" s="55" t="str">
        <f>IF(TabSLS[[#This Row],[R37]]&lt;=Sitze_Ausschuss,IF(TabSLS[[#This Row],[R37]]+COUNTIF(TabSLS[[R1]:[R37]],TabSLS[[#This Row],[R37]])-1&lt;=Sitze_Ausschuss,"SITZ","PATT"),"")</f>
        <v/>
      </c>
      <c r="CB15" s="56" t="b">
        <f>COUNTIF(TabSLS[[#This Row],[SP1]:[SP37]],"PATT")&gt;0</f>
        <v>0</v>
      </c>
      <c r="CC15" s="42">
        <f>IF(TabSLS[[#This Row],[Patt?]],(Sitze_Ausschuss-SUM(TabSLS[Sitze]))/TabSLS[[#Totals],[Patt?]],0)</f>
        <v>0</v>
      </c>
      <c r="CD15" s="57">
        <f>TabSLS[[#This Row],[Patt?]]*IF(Pattaufloesung="Stimmen",TabPatt[[#This Row],[Stimmen]],TabPatt[[#This Row],[Loserfolg]])*1</f>
        <v>0</v>
      </c>
      <c r="CE15" s="58" t="b">
        <f>_xlfn.RANK.EQ(TabSLS[[#This Row],[Stimmen Gelost]],TabSLS[Stimmen Gelost],0)&lt;=(Sitze_Ausschuss-SUM(TabSLS[Sitze]))</f>
        <v>1</v>
      </c>
      <c r="CF15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5" s="3"/>
      <c r="CH15" s="45">
        <f>COUNTIF(TabDH[[#This Row],[SP1]:[SP19]],"SITZ")</f>
        <v>0</v>
      </c>
      <c r="CI15" s="46">
        <f>IF(TabDH[[#This Row],[Patt]],IF(Pattaufloesung="Los-Chance",TabDH[[#This Row],[Los Chance]],TabDH[[#This Row],[Pattgewinn]]+0),0)</f>
        <v>0</v>
      </c>
      <c r="CJ15" s="47">
        <f>Grunddaten[[#This Row],[Sitze im Hauptorgan]]/_xlfn.NUMBERVALUE(MID(INDEX(TabDH[[#Headers],[:1]:[:19]],COLUMN()-COLUMN(TabDH[[#Headers],[:1]])+1),2,3))</f>
        <v>0</v>
      </c>
      <c r="CK15" s="48">
        <f>Grunddaten[[#This Row],[Sitze im Hauptorgan]]/_xlfn.NUMBERVALUE(MID(INDEX(TabDH[[#Headers],[:1]:[:19]],COLUMN()-COLUMN(TabDH[[#Headers],[:1]])+1),2,3))</f>
        <v>0</v>
      </c>
      <c r="CL15" s="48">
        <f>Grunddaten[[#This Row],[Sitze im Hauptorgan]]/_xlfn.NUMBERVALUE(MID(INDEX(TabDH[[#Headers],[:1]:[:19]],COLUMN()-COLUMN(TabDH[[#Headers],[:1]])+1),2,3))</f>
        <v>0</v>
      </c>
      <c r="CM15" s="48">
        <f>Grunddaten[[#This Row],[Sitze im Hauptorgan]]/_xlfn.NUMBERVALUE(MID(INDEX(TabDH[[#Headers],[:1]:[:19]],COLUMN()-COLUMN(TabDH[[#Headers],[:1]])+1),2,3))</f>
        <v>0</v>
      </c>
      <c r="CN15" s="48">
        <f>Grunddaten[[#This Row],[Sitze im Hauptorgan]]/_xlfn.NUMBERVALUE(MID(INDEX(TabDH[[#Headers],[:1]:[:19]],COLUMN()-COLUMN(TabDH[[#Headers],[:1]])+1),2,3))</f>
        <v>0</v>
      </c>
      <c r="CO15" s="48">
        <f>Grunddaten[[#This Row],[Sitze im Hauptorgan]]/_xlfn.NUMBERVALUE(MID(INDEX(TabDH[[#Headers],[:1]:[:19]],COLUMN()-COLUMN(TabDH[[#Headers],[:1]])+1),2,3))</f>
        <v>0</v>
      </c>
      <c r="CP15" s="48">
        <f>Grunddaten[[#This Row],[Sitze im Hauptorgan]]/_xlfn.NUMBERVALUE(MID(INDEX(TabDH[[#Headers],[:1]:[:19]],COLUMN()-COLUMN(TabDH[[#Headers],[:1]])+1),2,3))</f>
        <v>0</v>
      </c>
      <c r="CQ15" s="48">
        <f>Grunddaten[[#This Row],[Sitze im Hauptorgan]]/_xlfn.NUMBERVALUE(MID(INDEX(TabDH[[#Headers],[:1]:[:19]],COLUMN()-COLUMN(TabDH[[#Headers],[:1]])+1),2,3))</f>
        <v>0</v>
      </c>
      <c r="CR15" s="48">
        <f>Grunddaten[[#This Row],[Sitze im Hauptorgan]]/_xlfn.NUMBERVALUE(MID(INDEX(TabDH[[#Headers],[:1]:[:19]],COLUMN()-COLUMN(TabDH[[#Headers],[:1]])+1),2,3))</f>
        <v>0</v>
      </c>
      <c r="CS15" s="48">
        <f>Grunddaten[[#This Row],[Sitze im Hauptorgan]]/_xlfn.NUMBERVALUE(MID(INDEX(TabDH[[#Headers],[:1]:[:19]],COLUMN()-COLUMN(TabDH[[#Headers],[:1]])+1),2,3))</f>
        <v>0</v>
      </c>
      <c r="CT15" s="48">
        <f>Grunddaten[[#This Row],[Sitze im Hauptorgan]]/_xlfn.NUMBERVALUE(MID(INDEX(TabDH[[#Headers],[:1]:[:19]],COLUMN()-COLUMN(TabDH[[#Headers],[:1]])+1),2,3))</f>
        <v>0</v>
      </c>
      <c r="CU15" s="48">
        <f>Grunddaten[[#This Row],[Sitze im Hauptorgan]]/_xlfn.NUMBERVALUE(MID(INDEX(TabDH[[#Headers],[:1]:[:19]],COLUMN()-COLUMN(TabDH[[#Headers],[:1]])+1),2,3))</f>
        <v>0</v>
      </c>
      <c r="CV15" s="48">
        <f>Grunddaten[[#This Row],[Sitze im Hauptorgan]]/_xlfn.NUMBERVALUE(MID(INDEX(TabDH[[#Headers],[:1]:[:19]],COLUMN()-COLUMN(TabDH[[#Headers],[:1]])+1),2,3))</f>
        <v>0</v>
      </c>
      <c r="CW15" s="48">
        <f>Grunddaten[[#This Row],[Sitze im Hauptorgan]]/_xlfn.NUMBERVALUE(MID(INDEX(TabDH[[#Headers],[:1]:[:19]],COLUMN()-COLUMN(TabDH[[#Headers],[:1]])+1),2,3))</f>
        <v>0</v>
      </c>
      <c r="CX15" s="48">
        <f>Grunddaten[[#This Row],[Sitze im Hauptorgan]]/_xlfn.NUMBERVALUE(MID(INDEX(TabDH[[#Headers],[:1]:[:19]],COLUMN()-COLUMN(TabDH[[#Headers],[:1]])+1),2,3))</f>
        <v>0</v>
      </c>
      <c r="CY15" s="48">
        <f>Grunddaten[[#This Row],[Sitze im Hauptorgan]]/_xlfn.NUMBERVALUE(MID(INDEX(TabDH[[#Headers],[:1]:[:19]],COLUMN()-COLUMN(TabDH[[#Headers],[:1]])+1),2,3))</f>
        <v>0</v>
      </c>
      <c r="CZ15" s="48">
        <f>Grunddaten[[#This Row],[Sitze im Hauptorgan]]/_xlfn.NUMBERVALUE(MID(INDEX(TabDH[[#Headers],[:1]:[:19]],COLUMN()-COLUMN(TabDH[[#Headers],[:1]])+1),2,3))</f>
        <v>0</v>
      </c>
      <c r="DA15" s="48">
        <f>Grunddaten[[#This Row],[Sitze im Hauptorgan]]/_xlfn.NUMBERVALUE(MID(INDEX(TabDH[[#Headers],[:1]:[:19]],COLUMN()-COLUMN(TabDH[[#Headers],[:1]])+1),2,3))</f>
        <v>0</v>
      </c>
      <c r="DB15" s="49">
        <f>Grunddaten[[#This Row],[Sitze im Hauptorgan]]/_xlfn.NUMBERVALUE(MID(INDEX(TabDH[[#Headers],[:1]:[:19]],COLUMN()-COLUMN(TabDH[[#Headers],[:1]])+1),2,3))</f>
        <v>0</v>
      </c>
      <c r="DC15" s="50">
        <f>_xlfn.RANK.EQ(TabDH[[#This Row],[:1]],TabDH[[:1]:[:19]],0)</f>
        <v>172</v>
      </c>
      <c r="DD15" s="51">
        <f>_xlfn.RANK.EQ(TabDH[[#This Row],[:2]],TabDH[[:1]:[:19]],0)</f>
        <v>172</v>
      </c>
      <c r="DE15" s="51">
        <f>_xlfn.RANK.EQ(TabDH[[#This Row],[:3]],TabDH[[:1]:[:19]],0)</f>
        <v>172</v>
      </c>
      <c r="DF15" s="51">
        <f>_xlfn.RANK.EQ(TabDH[[#This Row],[:4]],TabDH[[:1]:[:19]],0)</f>
        <v>172</v>
      </c>
      <c r="DG15" s="51">
        <f>_xlfn.RANK.EQ(TabDH[[#This Row],[:5]],TabDH[[:1]:[:19]],0)</f>
        <v>172</v>
      </c>
      <c r="DH15" s="51">
        <f>_xlfn.RANK.EQ(TabDH[[#This Row],[:6]],TabDH[[:1]:[:19]],0)</f>
        <v>172</v>
      </c>
      <c r="DI15" s="51">
        <f>_xlfn.RANK.EQ(TabDH[[#This Row],[:7]],TabDH[[:1]:[:19]],0)</f>
        <v>172</v>
      </c>
      <c r="DJ15" s="51">
        <f>_xlfn.RANK.EQ(TabDH[[#This Row],[:8]],TabDH[[:1]:[:19]],0)</f>
        <v>172</v>
      </c>
      <c r="DK15" s="51">
        <f>_xlfn.RANK.EQ(TabDH[[#This Row],[:9]],TabDH[[:1]:[:19]],0)</f>
        <v>172</v>
      </c>
      <c r="DL15" s="51">
        <f>_xlfn.RANK.EQ(TabDH[[#This Row],[:10]],TabDH[[:1]:[:19]],0)</f>
        <v>172</v>
      </c>
      <c r="DM15" s="51">
        <f>_xlfn.RANK.EQ(TabDH[[#This Row],[:11]],TabDH[[:1]:[:19]],0)</f>
        <v>172</v>
      </c>
      <c r="DN15" s="51">
        <f>_xlfn.RANK.EQ(TabDH[[#This Row],[:12]],TabDH[[:1]:[:19]],0)</f>
        <v>172</v>
      </c>
      <c r="DO15" s="51">
        <f>_xlfn.RANK.EQ(TabDH[[#This Row],[:13]],TabDH[[:1]:[:19]],0)</f>
        <v>172</v>
      </c>
      <c r="DP15" s="51">
        <f>_xlfn.RANK.EQ(TabDH[[#This Row],[:14]],TabDH[[:1]:[:19]],0)</f>
        <v>172</v>
      </c>
      <c r="DQ15" s="51">
        <f>_xlfn.RANK.EQ(TabDH[[#This Row],[:15]],TabDH[[:1]:[:19]],0)</f>
        <v>172</v>
      </c>
      <c r="DR15" s="51">
        <f>_xlfn.RANK.EQ(TabDH[[#This Row],[:16]],TabDH[[:1]:[:19]],0)</f>
        <v>172</v>
      </c>
      <c r="DS15" s="51">
        <f>_xlfn.RANK.EQ(TabDH[[#This Row],[:17]],TabDH[[:1]:[:19]],0)</f>
        <v>172</v>
      </c>
      <c r="DT15" s="51">
        <f>_xlfn.RANK.EQ(TabDH[[#This Row],[:18]],TabDH[[:1]:[:19]],0)</f>
        <v>172</v>
      </c>
      <c r="DU15" s="52">
        <f>_xlfn.RANK.EQ(TabDH[[#This Row],[:19]],TabDH[[:1]:[:19]],0)</f>
        <v>172</v>
      </c>
      <c r="DV15" s="53" t="str">
        <f>IF(TabDH[[#This Row],[R1]]&lt;=Sitze_Ausschuss,IF(TabDH[[#This Row],[R1]]+COUNTIF(TabDH[[R1]:[R19]],TabDH[[#This Row],[R1]])-1&lt;=Sitze_Ausschuss,"SITZ","PATT"),"")</f>
        <v/>
      </c>
      <c r="DW15" s="54" t="str">
        <f>IF(TabDH[[#This Row],[R2]]&lt;=Sitze_Ausschuss,IF(TabDH[[#This Row],[R2]]+COUNTIF(TabDH[[R1]:[R19]],TabDH[[#This Row],[R2]])-1&lt;=Sitze_Ausschuss,"SITZ","PATT"),"")</f>
        <v/>
      </c>
      <c r="DX15" s="54" t="str">
        <f>IF(TabDH[[#This Row],[R3]]&lt;=Sitze_Ausschuss,IF(TabDH[[#This Row],[R3]]+COUNTIF(TabDH[[R1]:[R19]],TabDH[[#This Row],[R3]])-1&lt;=Sitze_Ausschuss,"SITZ","PATT"),"")</f>
        <v/>
      </c>
      <c r="DY15" s="54" t="str">
        <f>IF(TabDH[[#This Row],[R4]]&lt;=Sitze_Ausschuss,IF(TabDH[[#This Row],[R4]]+COUNTIF(TabDH[[R1]:[R19]],TabDH[[#This Row],[R4]])-1&lt;=Sitze_Ausschuss,"SITZ","PATT"),"")</f>
        <v/>
      </c>
      <c r="DZ15" s="54" t="str">
        <f>IF(TabDH[[#This Row],[R5]]&lt;=Sitze_Ausschuss,IF(TabDH[[#This Row],[R5]]+COUNTIF(TabDH[[R1]:[R19]],TabDH[[#This Row],[R5]])-1&lt;=Sitze_Ausschuss,"SITZ","PATT"),"")</f>
        <v/>
      </c>
      <c r="EA15" s="54" t="str">
        <f>IF(TabDH[[#This Row],[R6]]&lt;=Sitze_Ausschuss,IF(TabDH[[#This Row],[R6]]+COUNTIF(TabDH[[R1]:[R19]],TabDH[[#This Row],[R6]])-1&lt;=Sitze_Ausschuss,"SITZ","PATT"),"")</f>
        <v/>
      </c>
      <c r="EB15" s="54" t="str">
        <f>IF(TabDH[[#This Row],[R7]]&lt;=Sitze_Ausschuss,IF(TabDH[[#This Row],[R7]]+COUNTIF(TabDH[[R1]:[R19]],TabDH[[#This Row],[R7]])-1&lt;=Sitze_Ausschuss,"SITZ","PATT"),"")</f>
        <v/>
      </c>
      <c r="EC15" s="54" t="str">
        <f>IF(TabDH[[#This Row],[R8]]&lt;=Sitze_Ausschuss,IF(TabDH[[#This Row],[R8]]+COUNTIF(TabDH[[R1]:[R19]],TabDH[[#This Row],[R8]])-1&lt;=Sitze_Ausschuss,"SITZ","PATT"),"")</f>
        <v/>
      </c>
      <c r="ED15" s="54" t="str">
        <f>IF(TabDH[[#This Row],[R9]]&lt;=Sitze_Ausschuss,IF(TabDH[[#This Row],[R9]]+COUNTIF(TabDH[[R1]:[R19]],TabDH[[#This Row],[R9]])-1&lt;=Sitze_Ausschuss,"SITZ","PATT"),"")</f>
        <v/>
      </c>
      <c r="EE15" s="54" t="str">
        <f>IF(TabDH[[#This Row],[R10]]&lt;=Sitze_Ausschuss,IF(TabDH[[#This Row],[R10]]+COUNTIF(TabDH[[R1]:[R19]],TabDH[[#This Row],[R10]])-1&lt;=Sitze_Ausschuss,"SITZ","PATT"),"")</f>
        <v/>
      </c>
      <c r="EF15" s="54" t="str">
        <f>IF(TabDH[[#This Row],[R11]]&lt;=Sitze_Ausschuss,IF(TabDH[[#This Row],[R11]]+COUNTIF(TabDH[[R1]:[R19]],TabDH[[#This Row],[R11]])-1&lt;=Sitze_Ausschuss,"SITZ","PATT"),"")</f>
        <v/>
      </c>
      <c r="EG15" s="54" t="str">
        <f>IF(TabDH[[#This Row],[R12]]&lt;=Sitze_Ausschuss,IF(TabDH[[#This Row],[R12]]+COUNTIF(TabDH[[R1]:[R19]],TabDH[[#This Row],[R12]])-1&lt;=Sitze_Ausschuss,"SITZ","PATT"),"")</f>
        <v/>
      </c>
      <c r="EH15" s="54" t="str">
        <f>IF(TabDH[[#This Row],[R13]]&lt;=Sitze_Ausschuss,IF(TabDH[[#This Row],[R13]]+COUNTIF(TabDH[[R1]:[R19]],TabDH[[#This Row],[R13]])-1&lt;=Sitze_Ausschuss,"SITZ","PATT"),"")</f>
        <v/>
      </c>
      <c r="EI15" s="54" t="str">
        <f>IF(TabDH[[#This Row],[R14]]&lt;=Sitze_Ausschuss,IF(TabDH[[#This Row],[R14]]+COUNTIF(TabDH[[R1]:[R19]],TabDH[[#This Row],[R14]])-1&lt;=Sitze_Ausschuss,"SITZ","PATT"),"")</f>
        <v/>
      </c>
      <c r="EJ15" s="54" t="str">
        <f>IF(TabDH[[#This Row],[R15]]&lt;=Sitze_Ausschuss,IF(TabDH[[#This Row],[R15]]+COUNTIF(TabDH[[R1]:[R19]],TabDH[[#This Row],[R15]])-1&lt;=Sitze_Ausschuss,"SITZ","PATT"),"")</f>
        <v/>
      </c>
      <c r="EK15" s="54" t="str">
        <f>IF(TabDH[[#This Row],[R16]]&lt;=Sitze_Ausschuss,IF(TabDH[[#This Row],[R16]]+COUNTIF(TabDH[[R1]:[R19]],TabDH[[#This Row],[R16]])-1&lt;=Sitze_Ausschuss,"SITZ","PATT"),"")</f>
        <v/>
      </c>
      <c r="EL15" s="54" t="str">
        <f>IF(TabDH[[#This Row],[R17]]&lt;=Sitze_Ausschuss,IF(TabDH[[#This Row],[R17]]+COUNTIF(TabDH[[R1]:[R19]],TabDH[[#This Row],[R17]])-1&lt;=Sitze_Ausschuss,"SITZ","PATT"),"")</f>
        <v/>
      </c>
      <c r="EM15" s="54" t="str">
        <f>IF(TabDH[[#This Row],[R18]]&lt;=Sitze_Ausschuss,IF(TabDH[[#This Row],[R18]]+COUNTIF(TabDH[[R1]:[R19]],TabDH[[#This Row],[R18]])-1&lt;=Sitze_Ausschuss,"SITZ","PATT"),"")</f>
        <v/>
      </c>
      <c r="EN15" s="54" t="str">
        <f>IF(TabDH[[#This Row],[R19]]&lt;=Sitze_Ausschuss,IF(TabDH[[#This Row],[R19]]+COUNTIF(TabDH[[R1]:[R19]],TabDH[[#This Row],[R19]])-1&lt;=Sitze_Ausschuss,"SITZ","PATT"),"")</f>
        <v/>
      </c>
      <c r="EO15" s="56" t="b">
        <f>COUNTIF(TabDH[[#This Row],[SP1]:[SP19]],"PATT")&gt;0</f>
        <v>0</v>
      </c>
      <c r="EP15" s="42">
        <f>IF(TabDH[[#This Row],[Patt]],(Sitze_Ausschuss-SUM(TabDH[Sitze]))/TabDH[[#Totals],[Patt]],0)</f>
        <v>0</v>
      </c>
      <c r="EQ15" s="57">
        <f>TabDH[[#This Row],[Patt]]*IF(Pattaufloesung="Stimmen",TabPatt[[#This Row],[Stimmen]],TabPatt[[#This Row],[Loserfolg]])*1</f>
        <v>0</v>
      </c>
      <c r="ER15" s="58" t="b">
        <f>_xlfn.RANK.EQ(TabDH[[#This Row],[Stimmen/Gelost]],TabDH[Stimmen/Gelost],0)&lt;=(Sitze_Ausschuss-SUM(TabDH[Sitze]))</f>
        <v>1</v>
      </c>
      <c r="ES15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5" s="3"/>
      <c r="EU15" s="60" t="str">
        <f>Grunddaten[[#This Row],[Partei/Wählergruppe]]&amp;""</f>
        <v>PARTEI Z</v>
      </c>
      <c r="EV15" s="85">
        <v>211</v>
      </c>
      <c r="EW15" s="66" t="b">
        <v>0</v>
      </c>
      <c r="EX15" s="3"/>
      <c r="EY15" s="3"/>
      <c r="EZ15" s="3"/>
      <c r="FA15" s="3"/>
      <c r="FB15" s="3"/>
    </row>
    <row r="16" spans="1:164" x14ac:dyDescent="0.25">
      <c r="A16" s="3"/>
      <c r="B16" s="67" t="s">
        <v>171</v>
      </c>
      <c r="C16" s="85">
        <v>1</v>
      </c>
      <c r="D16" s="83">
        <f>Grunddaten[[#This Row],[Sitze im Hauptorgan]]/Grunddaten[[#Totals],[Sitze im Hauptorgan]]*Sitze_Ausschuss</f>
        <v>0.45833333333333331</v>
      </c>
      <c r="E16" s="33" t="str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 oder 1</v>
      </c>
      <c r="F16" s="61" t="str">
        <f t="shared" si="0"/>
        <v>OK</v>
      </c>
      <c r="G16" s="62" t="str">
        <f>IF(TabSLS[[#This Row],[QK verletzt]],"NOK","OK")</f>
        <v>OK</v>
      </c>
      <c r="H16" s="63" t="str">
        <f>IF(TabDH[[#This Row],[QK verletzt]],"NOK","OK")</f>
        <v>OK</v>
      </c>
      <c r="I16" s="3"/>
      <c r="J16" s="37">
        <f>TabHN[[#This Row],[S ganz]]+IF(NOT(TabHN[[#This Row],[Patt]]),TabHN[[#This Row],[Restsitz]],0)</f>
        <v>0</v>
      </c>
      <c r="K16" s="38">
        <f>IF(TabHN[[#This Row],[Patt]],IF(Pattaufloesung="Los-Chance",TabHN[[#This Row],[Los Chance]],TabHN[[#This Row],[Pattgewinn]]+0),0)</f>
        <v>0.5</v>
      </c>
      <c r="L16" s="39">
        <f>INT(Grunddaten[[#This Row],[Proporzgenaue Zahl Ausschuss]])</f>
        <v>0</v>
      </c>
      <c r="M16" s="40">
        <f>ROUND(Grunddaten[[#This Row],[Proporzgenaue Zahl Ausschuss]]-TabHN[[#This Row],[S ganz]],4)</f>
        <v>0.45829999999999999</v>
      </c>
      <c r="N16" s="41">
        <f>_xlfn.RANK.EQ(TabHN[[#This Row],[S Rest]],TabHN[S Rest],0)</f>
        <v>4</v>
      </c>
      <c r="O16" s="39">
        <f>IF(TabHN[[#This Row],[Rng Rest]]&lt;=TabHN[[#Totals],[S Rest]],1,0)</f>
        <v>1</v>
      </c>
      <c r="P16" s="39" t="b">
        <f>AND(TabHN[[#This Row],[Restsitz]]=1,(COUNTIF(TabHN[Rng Rest],TabHN[[#This Row],[Rng Rest]])+TabHN[[#This Row],[Rng Rest]]-1)&gt;TabHN[[#Totals],[S Rest]])</f>
        <v>1</v>
      </c>
      <c r="Q16" s="42">
        <f>IF(TabHN[[#This Row],[Patt]],(Sitze_Ausschuss-SUM(TabHN[Sitze]))/TabHN[[#Totals],[Patt]],0)</f>
        <v>0.5</v>
      </c>
      <c r="R16" s="43">
        <f>TabHN[[#This Row],[Patt]]*IF(Pattaufloesung="Stimmen",TabPatt[[#This Row],[Stimmen]],TabPatt[[#This Row],[Loserfolg]])*1</f>
        <v>0</v>
      </c>
      <c r="S16" s="44" t="b">
        <f>_xlfn.RANK.EQ(TabHN[[#This Row],[Stimmen/Gelost]],TabHN[Stimmen/Gelost],0)&lt;=(Sitze_Ausschuss-SUM(TabHN[Sitze]))</f>
        <v>1</v>
      </c>
      <c r="T16" s="3"/>
      <c r="U16" s="45">
        <f>COUNTIF(TabSLS[[#This Row],[SP1]:[SP37]],"SITZ")</f>
        <v>0</v>
      </c>
      <c r="V16" s="46">
        <f>IF(TabSLS[[#This Row],[Patt?]],IF(Pattaufloesung="Los-Chance",TabSLS[[#This Row],[Los Chance]],TabSLS[[#This Row],[Pattgewinn]]+0),0)</f>
        <v>0.33333333333333331</v>
      </c>
      <c r="W16" s="47">
        <f>Grunddaten[[#This Row],[Sitze im Hauptorgan]]/_xlfn.NUMBERVALUE(MID(INDEX(TabSLS[[#Headers],[:1]:[:37]],COLUMN()-COLUMN(TabSLS[[#Headers],[:1]])+1),2,3))</f>
        <v>1</v>
      </c>
      <c r="X16" s="48">
        <f>Grunddaten[[#This Row],[Sitze im Hauptorgan]]/_xlfn.NUMBERVALUE(MID(INDEX(TabSLS[[#Headers],[:1]:[:37]],COLUMN()-COLUMN(TabSLS[[#Headers],[:1]])+1),2,3))</f>
        <v>0.33333333333333331</v>
      </c>
      <c r="Y16" s="48">
        <f>Grunddaten[[#This Row],[Sitze im Hauptorgan]]/_xlfn.NUMBERVALUE(MID(INDEX(TabSLS[[#Headers],[:1]:[:37]],COLUMN()-COLUMN(TabSLS[[#Headers],[:1]])+1),2,3))</f>
        <v>0.2</v>
      </c>
      <c r="Z16" s="48">
        <f>Grunddaten[[#This Row],[Sitze im Hauptorgan]]/_xlfn.NUMBERVALUE(MID(INDEX(TabSLS[[#Headers],[:1]:[:37]],COLUMN()-COLUMN(TabSLS[[#Headers],[:1]])+1),2,3))</f>
        <v>0.14285714285714285</v>
      </c>
      <c r="AA16" s="48">
        <f>Grunddaten[[#This Row],[Sitze im Hauptorgan]]/_xlfn.NUMBERVALUE(MID(INDEX(TabSLS[[#Headers],[:1]:[:37]],COLUMN()-COLUMN(TabSLS[[#Headers],[:1]])+1),2,3))</f>
        <v>0.1111111111111111</v>
      </c>
      <c r="AB16" s="48">
        <f>Grunddaten[[#This Row],[Sitze im Hauptorgan]]/_xlfn.NUMBERVALUE(MID(INDEX(TabSLS[[#Headers],[:1]:[:37]],COLUMN()-COLUMN(TabSLS[[#Headers],[:1]])+1),2,3))</f>
        <v>9.0909090909090912E-2</v>
      </c>
      <c r="AC16" s="48">
        <f>Grunddaten[[#This Row],[Sitze im Hauptorgan]]/_xlfn.NUMBERVALUE(MID(INDEX(TabSLS[[#Headers],[:1]:[:37]],COLUMN()-COLUMN(TabSLS[[#Headers],[:1]])+1),2,3))</f>
        <v>7.6923076923076927E-2</v>
      </c>
      <c r="AD16" s="48">
        <f>Grunddaten[[#This Row],[Sitze im Hauptorgan]]/_xlfn.NUMBERVALUE(MID(INDEX(TabSLS[[#Headers],[:1]:[:37]],COLUMN()-COLUMN(TabSLS[[#Headers],[:1]])+1),2,3))</f>
        <v>6.6666666666666666E-2</v>
      </c>
      <c r="AE16" s="48">
        <f>Grunddaten[[#This Row],[Sitze im Hauptorgan]]/_xlfn.NUMBERVALUE(MID(INDEX(TabSLS[[#Headers],[:1]:[:37]],COLUMN()-COLUMN(TabSLS[[#Headers],[:1]])+1),2,3))</f>
        <v>5.8823529411764705E-2</v>
      </c>
      <c r="AF16" s="48">
        <f>Grunddaten[[#This Row],[Sitze im Hauptorgan]]/_xlfn.NUMBERVALUE(MID(INDEX(TabSLS[[#Headers],[:1]:[:37]],COLUMN()-COLUMN(TabSLS[[#Headers],[:1]])+1),2,3))</f>
        <v>5.2631578947368418E-2</v>
      </c>
      <c r="AG16" s="48">
        <f>Grunddaten[[#This Row],[Sitze im Hauptorgan]]/_xlfn.NUMBERVALUE(MID(INDEX(TabSLS[[#Headers],[:1]:[:37]],COLUMN()-COLUMN(TabSLS[[#Headers],[:1]])+1),2,3))</f>
        <v>4.7619047619047616E-2</v>
      </c>
      <c r="AH16" s="48">
        <f>Grunddaten[[#This Row],[Sitze im Hauptorgan]]/_xlfn.NUMBERVALUE(MID(INDEX(TabSLS[[#Headers],[:1]:[:37]],COLUMN()-COLUMN(TabSLS[[#Headers],[:1]])+1),2,3))</f>
        <v>4.3478260869565216E-2</v>
      </c>
      <c r="AI16" s="48">
        <f>Grunddaten[[#This Row],[Sitze im Hauptorgan]]/_xlfn.NUMBERVALUE(MID(INDEX(TabSLS[[#Headers],[:1]:[:37]],COLUMN()-COLUMN(TabSLS[[#Headers],[:1]])+1),2,3))</f>
        <v>0.04</v>
      </c>
      <c r="AJ16" s="48">
        <f>Grunddaten[[#This Row],[Sitze im Hauptorgan]]/_xlfn.NUMBERVALUE(MID(INDEX(TabSLS[[#Headers],[:1]:[:37]],COLUMN()-COLUMN(TabSLS[[#Headers],[:1]])+1),2,3))</f>
        <v>3.7037037037037035E-2</v>
      </c>
      <c r="AK16" s="48">
        <f>Grunddaten[[#This Row],[Sitze im Hauptorgan]]/_xlfn.NUMBERVALUE(MID(INDEX(TabSLS[[#Headers],[:1]:[:37]],COLUMN()-COLUMN(TabSLS[[#Headers],[:1]])+1),2,3))</f>
        <v>3.4482758620689655E-2</v>
      </c>
      <c r="AL16" s="48">
        <f>Grunddaten[[#This Row],[Sitze im Hauptorgan]]/_xlfn.NUMBERVALUE(MID(INDEX(TabSLS[[#Headers],[:1]:[:37]],COLUMN()-COLUMN(TabSLS[[#Headers],[:1]])+1),2,3))</f>
        <v>3.2258064516129031E-2</v>
      </c>
      <c r="AM16" s="48">
        <f>Grunddaten[[#This Row],[Sitze im Hauptorgan]]/_xlfn.NUMBERVALUE(MID(INDEX(TabSLS[[#Headers],[:1]:[:37]],COLUMN()-COLUMN(TabSLS[[#Headers],[:1]])+1),2,3))</f>
        <v>3.0303030303030304E-2</v>
      </c>
      <c r="AN16" s="48">
        <f>Grunddaten[[#This Row],[Sitze im Hauptorgan]]/_xlfn.NUMBERVALUE(MID(INDEX(TabSLS[[#Headers],[:1]:[:37]],COLUMN()-COLUMN(TabSLS[[#Headers],[:1]])+1),2,3))</f>
        <v>2.8571428571428571E-2</v>
      </c>
      <c r="AO16" s="49">
        <f>Grunddaten[[#This Row],[Sitze im Hauptorgan]]/_xlfn.NUMBERVALUE(MID(INDEX(TabSLS[[#Headers],[:1]:[:37]],COLUMN()-COLUMN(TabSLS[[#Headers],[:1]])+1),2,3))</f>
        <v>2.7027027027027029E-2</v>
      </c>
      <c r="AP16" s="50">
        <f>_xlfn.RANK.EQ(TabSLS[[#This Row],[:1]],TabSLS[[:1]:[:37]],0)</f>
        <v>10</v>
      </c>
      <c r="AQ16" s="51">
        <f>_xlfn.RANK.EQ(TabSLS[[#This Row],[:3]],TabSLS[[:1]:[:37]],0)</f>
        <v>34</v>
      </c>
      <c r="AR16" s="51">
        <f>_xlfn.RANK.EQ(TabSLS[[#This Row],[:5]],TabSLS[[:1]:[:37]],0)</f>
        <v>58</v>
      </c>
      <c r="AS16" s="51">
        <f>_xlfn.RANK.EQ(TabSLS[[#This Row],[:7]],TabSLS[[:1]:[:37]],0)</f>
        <v>80</v>
      </c>
      <c r="AT16" s="51">
        <f>_xlfn.RANK.EQ(TabSLS[[#This Row],[:9]],TabSLS[[:1]:[:37]],0)</f>
        <v>95</v>
      </c>
      <c r="AU16" s="51">
        <f>_xlfn.RANK.EQ(TabSLS[[#This Row],[:11]],TabSLS[[:1]:[:37]],0)</f>
        <v>105</v>
      </c>
      <c r="AV16" s="51">
        <f>_xlfn.RANK.EQ(TabSLS[[#This Row],[:13]],TabSLS[[:1]:[:37]],0)</f>
        <v>114</v>
      </c>
      <c r="AW16" s="51">
        <f>_xlfn.RANK.EQ(TabSLS[[#This Row],[:15]],TabSLS[[:1]:[:37]],0)</f>
        <v>120</v>
      </c>
      <c r="AX16" s="51">
        <f>_xlfn.RANK.EQ(TabSLS[[#This Row],[:17]],TabSLS[[:1]:[:37]],0)</f>
        <v>126</v>
      </c>
      <c r="AY16" s="51">
        <f>_xlfn.RANK.EQ(TabSLS[[#This Row],[:19]],TabSLS[[:1]:[:37]],0)</f>
        <v>132</v>
      </c>
      <c r="AZ16" s="51">
        <f>_xlfn.RANK.EQ(TabSLS[[#This Row],[:21]],TabSLS[[:1]:[:37]],0)</f>
        <v>136</v>
      </c>
      <c r="BA16" s="51">
        <f>_xlfn.RANK.EQ(TabSLS[[#This Row],[:23]],TabSLS[[:1]:[:37]],0)</f>
        <v>140</v>
      </c>
      <c r="BB16" s="51">
        <f>_xlfn.RANK.EQ(TabSLS[[#This Row],[:25]],TabSLS[[:1]:[:37]],0)</f>
        <v>144</v>
      </c>
      <c r="BC16" s="51">
        <f>_xlfn.RANK.EQ(TabSLS[[#This Row],[:27]],TabSLS[[:1]:[:37]],0)</f>
        <v>148</v>
      </c>
      <c r="BD16" s="51">
        <f>_xlfn.RANK.EQ(TabSLS[[#This Row],[:29]],TabSLS[[:1]:[:37]],0)</f>
        <v>152</v>
      </c>
      <c r="BE16" s="51">
        <f>_xlfn.RANK.EQ(TabSLS[[#This Row],[:31]],TabSLS[[:1]:[:37]],0)</f>
        <v>156</v>
      </c>
      <c r="BF16" s="51">
        <f>_xlfn.RANK.EQ(TabSLS[[#This Row],[:33]],TabSLS[[:1]:[:37]],0)</f>
        <v>160</v>
      </c>
      <c r="BG16" s="51">
        <f>_xlfn.RANK.EQ(TabSLS[[#This Row],[:35]],TabSLS[[:1]:[:37]],0)</f>
        <v>164</v>
      </c>
      <c r="BH16" s="52">
        <f>_xlfn.RANK.EQ(TabSLS[[#This Row],[:37]],TabSLS[[:1]:[:37]],0)</f>
        <v>168</v>
      </c>
      <c r="BI16" s="53" t="str">
        <f>IF(TabSLS[[#This Row],[R1]]&lt;=Sitze_Ausschuss,IF(TabSLS[[#This Row],[R1]]+COUNTIF(TabSLS[[R1]:[R37]],TabSLS[[#This Row],[R1]])-1&lt;=Sitze_Ausschuss,"SITZ","PATT"),"")</f>
        <v>PATT</v>
      </c>
      <c r="BJ16" s="54" t="str">
        <f>IF(TabSLS[[#This Row],[R3]]&lt;=Sitze_Ausschuss,IF(TabSLS[[#This Row],[R3]]+COUNTIF(TabSLS[[R1]:[R37]],TabSLS[[#This Row],[R3]])-1&lt;=Sitze_Ausschuss,"SITZ","PATT"),"")</f>
        <v/>
      </c>
      <c r="BK16" s="54" t="str">
        <f>IF(TabSLS[[#This Row],[R5]]&lt;=Sitze_Ausschuss,IF(TabSLS[[#This Row],[R5]]+COUNTIF(TabSLS[[R1]:[R37]],TabSLS[[#This Row],[R5]])-1&lt;=Sitze_Ausschuss,"SITZ","PATT"),"")</f>
        <v/>
      </c>
      <c r="BL16" s="54" t="str">
        <f>IF(TabSLS[[#This Row],[R7]]&lt;=Sitze_Ausschuss,IF(TabSLS[[#This Row],[R7]]+COUNTIF(TabSLS[[R1]:[R37]],TabSLS[[#This Row],[R7]])-1&lt;=Sitze_Ausschuss,"SITZ","PATT"),"")</f>
        <v/>
      </c>
      <c r="BM16" s="54" t="str">
        <f>IF(TabSLS[[#This Row],[R9]]&lt;=Sitze_Ausschuss,IF(TabSLS[[#This Row],[R9]]+COUNTIF(TabSLS[[R1]:[R37]],TabSLS[[#This Row],[R9]])-1&lt;=Sitze_Ausschuss,"SITZ","PATT"),"")</f>
        <v/>
      </c>
      <c r="BN16" s="54" t="str">
        <f>IF(TabSLS[[#This Row],[R11]]&lt;=Sitze_Ausschuss,IF(TabSLS[[#This Row],[R11]]+COUNTIF(TabSLS[[R1]:[R37]],TabSLS[[#This Row],[R11]])-1&lt;=Sitze_Ausschuss,"SITZ","PATT"),"")</f>
        <v/>
      </c>
      <c r="BO16" s="54" t="str">
        <f>IF(TabSLS[[#This Row],[R13]]&lt;=Sitze_Ausschuss,IF(TabSLS[[#This Row],[R13]]+COUNTIF(TabSLS[[R1]:[R37]],TabSLS[[#This Row],[R13]])-1&lt;=Sitze_Ausschuss,"SITZ","PATT"),"")</f>
        <v/>
      </c>
      <c r="BP16" s="54" t="str">
        <f>IF(TabSLS[[#This Row],[R15]]&lt;=Sitze_Ausschuss,IF(TabSLS[[#This Row],[R15]]+COUNTIF(TabSLS[[R1]:[R37]],TabSLS[[#This Row],[R15]])-1&lt;=Sitze_Ausschuss,"SITZ","PATT"),"")</f>
        <v/>
      </c>
      <c r="BQ16" s="54" t="str">
        <f>IF(TabSLS[[#This Row],[R17]]&lt;=Sitze_Ausschuss,IF(TabSLS[[#This Row],[R17]]+COUNTIF(TabSLS[[R1]:[R37]],TabSLS[[#This Row],[R17]])-1&lt;=Sitze_Ausschuss,"SITZ","PATT"),"")</f>
        <v/>
      </c>
      <c r="BR16" s="54" t="str">
        <f>IF(TabSLS[[#This Row],[R19]]&lt;=Sitze_Ausschuss,IF(TabSLS[[#This Row],[R19]]+COUNTIF(TabSLS[[R1]:[R37]],TabSLS[[#This Row],[R19]])-1&lt;=Sitze_Ausschuss,"SITZ","PATT"),"")</f>
        <v/>
      </c>
      <c r="BS16" s="54" t="str">
        <f>IF(TabSLS[[#This Row],[R21]]&lt;=Sitze_Ausschuss,IF(TabSLS[[#This Row],[R21]]+COUNTIF(TabSLS[[R1]:[R37]],TabSLS[[#This Row],[R21]])-1&lt;=Sitze_Ausschuss,"SITZ","PATT"),"")</f>
        <v/>
      </c>
      <c r="BT16" s="54" t="str">
        <f>IF(TabSLS[[#This Row],[R23]]&lt;=Sitze_Ausschuss,IF(TabSLS[[#This Row],[R23]]+COUNTIF(TabSLS[[R1]:[R37]],TabSLS[[#This Row],[R23]])-1&lt;=Sitze_Ausschuss,"SITZ","PATT"),"")</f>
        <v/>
      </c>
      <c r="BU16" s="54" t="str">
        <f>IF(TabSLS[[#This Row],[R25]]&lt;=Sitze_Ausschuss,IF(TabSLS[[#This Row],[R25]]+COUNTIF(TabSLS[[R1]:[R37]],TabSLS[[#This Row],[R25]])-1&lt;=Sitze_Ausschuss,"SITZ","PATT"),"")</f>
        <v/>
      </c>
      <c r="BV16" s="54" t="str">
        <f>IF(TabSLS[[#This Row],[R27]]&lt;=Sitze_Ausschuss,IF(TabSLS[[#This Row],[R27]]+COUNTIF(TabSLS[[R1]:[R37]],TabSLS[[#This Row],[R27]])-1&lt;=Sitze_Ausschuss,"SITZ","PATT"),"")</f>
        <v/>
      </c>
      <c r="BW16" s="54" t="str">
        <f>IF(TabSLS[[#This Row],[R29]]&lt;=Sitze_Ausschuss,IF(TabSLS[[#This Row],[R29]]+COUNTIF(TabSLS[[R1]:[R37]],TabSLS[[#This Row],[R29]])-1&lt;=Sitze_Ausschuss,"SITZ","PATT"),"")</f>
        <v/>
      </c>
      <c r="BX16" s="54" t="str">
        <f>IF(TabSLS[[#This Row],[R31]]&lt;=Sitze_Ausschuss,IF(TabSLS[[#This Row],[R31]]+COUNTIF(TabSLS[[R1]:[R37]],TabSLS[[#This Row],[R31]])-1&lt;=Sitze_Ausschuss,"SITZ","PATT"),"")</f>
        <v/>
      </c>
      <c r="BY16" s="54" t="str">
        <f>IF(TabSLS[[#This Row],[R33]]&lt;=Sitze_Ausschuss,IF(TabSLS[[#This Row],[R33]]+COUNTIF(TabSLS[[R1]:[R37]],TabSLS[[#This Row],[R33]])-1&lt;=Sitze_Ausschuss,"SITZ","PATT"),"")</f>
        <v/>
      </c>
      <c r="BZ16" s="54" t="str">
        <f>IF(TabSLS[[#This Row],[R35]]&lt;=Sitze_Ausschuss,IF(TabSLS[[#This Row],[R35]]+COUNTIF(TabSLS[[R1]:[R37]],TabSLS[[#This Row],[R35]])-1&lt;=Sitze_Ausschuss,"SITZ","PATT"),"")</f>
        <v/>
      </c>
      <c r="CA16" s="55" t="str">
        <f>IF(TabSLS[[#This Row],[R37]]&lt;=Sitze_Ausschuss,IF(TabSLS[[#This Row],[R37]]+COUNTIF(TabSLS[[R1]:[R37]],TabSLS[[#This Row],[R37]])-1&lt;=Sitze_Ausschuss,"SITZ","PATT"),"")</f>
        <v/>
      </c>
      <c r="CB16" s="56" t="b">
        <f>COUNTIF(TabSLS[[#This Row],[SP1]:[SP37]],"PATT")&gt;0</f>
        <v>1</v>
      </c>
      <c r="CC16" s="42">
        <f>IF(TabSLS[[#This Row],[Patt?]],(Sitze_Ausschuss-SUM(TabSLS[Sitze]))/TabSLS[[#Totals],[Patt?]],0)</f>
        <v>0.33333333333333331</v>
      </c>
      <c r="CD16" s="57">
        <f>TabSLS[[#This Row],[Patt?]]*IF(Pattaufloesung="Stimmen",TabPatt[[#This Row],[Stimmen]],TabPatt[[#This Row],[Loserfolg]])*1</f>
        <v>0</v>
      </c>
      <c r="CE16" s="58" t="b">
        <f>_xlfn.RANK.EQ(TabSLS[[#This Row],[Stimmen Gelost]],TabSLS[Stimmen Gelost],0)&lt;=(Sitze_Ausschuss-SUM(TabSLS[Sitze]))</f>
        <v>1</v>
      </c>
      <c r="CF16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6" s="3"/>
      <c r="CH16" s="45">
        <f>COUNTIF(TabDH[[#This Row],[SP1]:[SP19]],"SITZ")</f>
        <v>0</v>
      </c>
      <c r="CI16" s="46">
        <f>IF(TabDH[[#This Row],[Patt]],IF(Pattaufloesung="Los-Chance",TabDH[[#This Row],[Los Chance]],TabDH[[#This Row],[Pattgewinn]]+0),0)</f>
        <v>0</v>
      </c>
      <c r="CJ16" s="47">
        <f>Grunddaten[[#This Row],[Sitze im Hauptorgan]]/_xlfn.NUMBERVALUE(MID(INDEX(TabDH[[#Headers],[:1]:[:19]],COLUMN()-COLUMN(TabDH[[#Headers],[:1]])+1),2,3))</f>
        <v>1</v>
      </c>
      <c r="CK16" s="48">
        <f>Grunddaten[[#This Row],[Sitze im Hauptorgan]]/_xlfn.NUMBERVALUE(MID(INDEX(TabDH[[#Headers],[:1]:[:19]],COLUMN()-COLUMN(TabDH[[#Headers],[:1]])+1),2,3))</f>
        <v>0.5</v>
      </c>
      <c r="CL16" s="48">
        <f>Grunddaten[[#This Row],[Sitze im Hauptorgan]]/_xlfn.NUMBERVALUE(MID(INDEX(TabDH[[#Headers],[:1]:[:19]],COLUMN()-COLUMN(TabDH[[#Headers],[:1]])+1),2,3))</f>
        <v>0.33333333333333331</v>
      </c>
      <c r="CM16" s="48">
        <f>Grunddaten[[#This Row],[Sitze im Hauptorgan]]/_xlfn.NUMBERVALUE(MID(INDEX(TabDH[[#Headers],[:1]:[:19]],COLUMN()-COLUMN(TabDH[[#Headers],[:1]])+1),2,3))</f>
        <v>0.25</v>
      </c>
      <c r="CN16" s="48">
        <f>Grunddaten[[#This Row],[Sitze im Hauptorgan]]/_xlfn.NUMBERVALUE(MID(INDEX(TabDH[[#Headers],[:1]:[:19]],COLUMN()-COLUMN(TabDH[[#Headers],[:1]])+1),2,3))</f>
        <v>0.2</v>
      </c>
      <c r="CO16" s="48">
        <f>Grunddaten[[#This Row],[Sitze im Hauptorgan]]/_xlfn.NUMBERVALUE(MID(INDEX(TabDH[[#Headers],[:1]:[:19]],COLUMN()-COLUMN(TabDH[[#Headers],[:1]])+1),2,3))</f>
        <v>0.16666666666666666</v>
      </c>
      <c r="CP16" s="48">
        <f>Grunddaten[[#This Row],[Sitze im Hauptorgan]]/_xlfn.NUMBERVALUE(MID(INDEX(TabDH[[#Headers],[:1]:[:19]],COLUMN()-COLUMN(TabDH[[#Headers],[:1]])+1),2,3))</f>
        <v>0.14285714285714285</v>
      </c>
      <c r="CQ16" s="48">
        <f>Grunddaten[[#This Row],[Sitze im Hauptorgan]]/_xlfn.NUMBERVALUE(MID(INDEX(TabDH[[#Headers],[:1]:[:19]],COLUMN()-COLUMN(TabDH[[#Headers],[:1]])+1),2,3))</f>
        <v>0.125</v>
      </c>
      <c r="CR16" s="48">
        <f>Grunddaten[[#This Row],[Sitze im Hauptorgan]]/_xlfn.NUMBERVALUE(MID(INDEX(TabDH[[#Headers],[:1]:[:19]],COLUMN()-COLUMN(TabDH[[#Headers],[:1]])+1),2,3))</f>
        <v>0.1111111111111111</v>
      </c>
      <c r="CS16" s="48">
        <f>Grunddaten[[#This Row],[Sitze im Hauptorgan]]/_xlfn.NUMBERVALUE(MID(INDEX(TabDH[[#Headers],[:1]:[:19]],COLUMN()-COLUMN(TabDH[[#Headers],[:1]])+1),2,3))</f>
        <v>0.1</v>
      </c>
      <c r="CT16" s="48">
        <f>Grunddaten[[#This Row],[Sitze im Hauptorgan]]/_xlfn.NUMBERVALUE(MID(INDEX(TabDH[[#Headers],[:1]:[:19]],COLUMN()-COLUMN(TabDH[[#Headers],[:1]])+1),2,3))</f>
        <v>9.0909090909090912E-2</v>
      </c>
      <c r="CU16" s="48">
        <f>Grunddaten[[#This Row],[Sitze im Hauptorgan]]/_xlfn.NUMBERVALUE(MID(INDEX(TabDH[[#Headers],[:1]:[:19]],COLUMN()-COLUMN(TabDH[[#Headers],[:1]])+1),2,3))</f>
        <v>8.3333333333333329E-2</v>
      </c>
      <c r="CV16" s="48">
        <f>Grunddaten[[#This Row],[Sitze im Hauptorgan]]/_xlfn.NUMBERVALUE(MID(INDEX(TabDH[[#Headers],[:1]:[:19]],COLUMN()-COLUMN(TabDH[[#Headers],[:1]])+1),2,3))</f>
        <v>7.6923076923076927E-2</v>
      </c>
      <c r="CW16" s="48">
        <f>Grunddaten[[#This Row],[Sitze im Hauptorgan]]/_xlfn.NUMBERVALUE(MID(INDEX(TabDH[[#Headers],[:1]:[:19]],COLUMN()-COLUMN(TabDH[[#Headers],[:1]])+1),2,3))</f>
        <v>7.1428571428571425E-2</v>
      </c>
      <c r="CX16" s="48">
        <f>Grunddaten[[#This Row],[Sitze im Hauptorgan]]/_xlfn.NUMBERVALUE(MID(INDEX(TabDH[[#Headers],[:1]:[:19]],COLUMN()-COLUMN(TabDH[[#Headers],[:1]])+1),2,3))</f>
        <v>6.6666666666666666E-2</v>
      </c>
      <c r="CY16" s="48">
        <f>Grunddaten[[#This Row],[Sitze im Hauptorgan]]/_xlfn.NUMBERVALUE(MID(INDEX(TabDH[[#Headers],[:1]:[:19]],COLUMN()-COLUMN(TabDH[[#Headers],[:1]])+1),2,3))</f>
        <v>6.25E-2</v>
      </c>
      <c r="CZ16" s="48">
        <f>Grunddaten[[#This Row],[Sitze im Hauptorgan]]/_xlfn.NUMBERVALUE(MID(INDEX(TabDH[[#Headers],[:1]:[:19]],COLUMN()-COLUMN(TabDH[[#Headers],[:1]])+1),2,3))</f>
        <v>5.8823529411764705E-2</v>
      </c>
      <c r="DA16" s="48">
        <f>Grunddaten[[#This Row],[Sitze im Hauptorgan]]/_xlfn.NUMBERVALUE(MID(INDEX(TabDH[[#Headers],[:1]:[:19]],COLUMN()-COLUMN(TabDH[[#Headers],[:1]])+1),2,3))</f>
        <v>5.5555555555555552E-2</v>
      </c>
      <c r="DB16" s="49">
        <f>Grunddaten[[#This Row],[Sitze im Hauptorgan]]/_xlfn.NUMBERVALUE(MID(INDEX(TabDH[[#Headers],[:1]:[:19]],COLUMN()-COLUMN(TabDH[[#Headers],[:1]])+1),2,3))</f>
        <v>5.2631578947368418E-2</v>
      </c>
      <c r="DC16" s="50">
        <f>_xlfn.RANK.EQ(TabDH[[#This Row],[:1]],TabDH[[:1]:[:19]],0)</f>
        <v>16</v>
      </c>
      <c r="DD16" s="51">
        <f>_xlfn.RANK.EQ(TabDH[[#This Row],[:2]],TabDH[[:1]:[:19]],0)</f>
        <v>40</v>
      </c>
      <c r="DE16" s="51">
        <f>_xlfn.RANK.EQ(TabDH[[#This Row],[:3]],TabDH[[:1]:[:19]],0)</f>
        <v>64</v>
      </c>
      <c r="DF16" s="51">
        <f>_xlfn.RANK.EQ(TabDH[[#This Row],[:4]],TabDH[[:1]:[:19]],0)</f>
        <v>84</v>
      </c>
      <c r="DG16" s="51">
        <f>_xlfn.RANK.EQ(TabDH[[#This Row],[:5]],TabDH[[:1]:[:19]],0)</f>
        <v>97</v>
      </c>
      <c r="DH16" s="51">
        <f>_xlfn.RANK.EQ(TabDH[[#This Row],[:6]],TabDH[[:1]:[:19]],0)</f>
        <v>106</v>
      </c>
      <c r="DI16" s="51">
        <f>_xlfn.RANK.EQ(TabDH[[#This Row],[:7]],TabDH[[:1]:[:19]],0)</f>
        <v>114</v>
      </c>
      <c r="DJ16" s="51">
        <f>_xlfn.RANK.EQ(TabDH[[#This Row],[:8]],TabDH[[:1]:[:19]],0)</f>
        <v>120</v>
      </c>
      <c r="DK16" s="51">
        <f>_xlfn.RANK.EQ(TabDH[[#This Row],[:9]],TabDH[[:1]:[:19]],0)</f>
        <v>126</v>
      </c>
      <c r="DL16" s="51">
        <f>_xlfn.RANK.EQ(TabDH[[#This Row],[:10]],TabDH[[:1]:[:19]],0)</f>
        <v>132</v>
      </c>
      <c r="DM16" s="51">
        <f>_xlfn.RANK.EQ(TabDH[[#This Row],[:11]],TabDH[[:1]:[:19]],0)</f>
        <v>136</v>
      </c>
      <c r="DN16" s="51">
        <f>_xlfn.RANK.EQ(TabDH[[#This Row],[:12]],TabDH[[:1]:[:19]],0)</f>
        <v>140</v>
      </c>
      <c r="DO16" s="51">
        <f>_xlfn.RANK.EQ(TabDH[[#This Row],[:13]],TabDH[[:1]:[:19]],0)</f>
        <v>144</v>
      </c>
      <c r="DP16" s="51">
        <f>_xlfn.RANK.EQ(TabDH[[#This Row],[:14]],TabDH[[:1]:[:19]],0)</f>
        <v>148</v>
      </c>
      <c r="DQ16" s="51">
        <f>_xlfn.RANK.EQ(TabDH[[#This Row],[:15]],TabDH[[:1]:[:19]],0)</f>
        <v>152</v>
      </c>
      <c r="DR16" s="51">
        <f>_xlfn.RANK.EQ(TabDH[[#This Row],[:16]],TabDH[[:1]:[:19]],0)</f>
        <v>156</v>
      </c>
      <c r="DS16" s="51">
        <f>_xlfn.RANK.EQ(TabDH[[#This Row],[:17]],TabDH[[:1]:[:19]],0)</f>
        <v>160</v>
      </c>
      <c r="DT16" s="51">
        <f>_xlfn.RANK.EQ(TabDH[[#This Row],[:18]],TabDH[[:1]:[:19]],0)</f>
        <v>164</v>
      </c>
      <c r="DU16" s="52">
        <f>_xlfn.RANK.EQ(TabDH[[#This Row],[:19]],TabDH[[:1]:[:19]],0)</f>
        <v>168</v>
      </c>
      <c r="DV16" s="53" t="str">
        <f>IF(TabDH[[#This Row],[R1]]&lt;=Sitze_Ausschuss,IF(TabDH[[#This Row],[R1]]+COUNTIF(TabDH[[R1]:[R19]],TabDH[[#This Row],[R1]])-1&lt;=Sitze_Ausschuss,"SITZ","PATT"),"")</f>
        <v/>
      </c>
      <c r="DW16" s="54" t="str">
        <f>IF(TabDH[[#This Row],[R2]]&lt;=Sitze_Ausschuss,IF(TabDH[[#This Row],[R2]]+COUNTIF(TabDH[[R1]:[R19]],TabDH[[#This Row],[R2]])-1&lt;=Sitze_Ausschuss,"SITZ","PATT"),"")</f>
        <v/>
      </c>
      <c r="DX16" s="54" t="str">
        <f>IF(TabDH[[#This Row],[R3]]&lt;=Sitze_Ausschuss,IF(TabDH[[#This Row],[R3]]+COUNTIF(TabDH[[R1]:[R19]],TabDH[[#This Row],[R3]])-1&lt;=Sitze_Ausschuss,"SITZ","PATT"),"")</f>
        <v/>
      </c>
      <c r="DY16" s="54" t="str">
        <f>IF(TabDH[[#This Row],[R4]]&lt;=Sitze_Ausschuss,IF(TabDH[[#This Row],[R4]]+COUNTIF(TabDH[[R1]:[R19]],TabDH[[#This Row],[R4]])-1&lt;=Sitze_Ausschuss,"SITZ","PATT"),"")</f>
        <v/>
      </c>
      <c r="DZ16" s="54" t="str">
        <f>IF(TabDH[[#This Row],[R5]]&lt;=Sitze_Ausschuss,IF(TabDH[[#This Row],[R5]]+COUNTIF(TabDH[[R1]:[R19]],TabDH[[#This Row],[R5]])-1&lt;=Sitze_Ausschuss,"SITZ","PATT"),"")</f>
        <v/>
      </c>
      <c r="EA16" s="54" t="str">
        <f>IF(TabDH[[#This Row],[R6]]&lt;=Sitze_Ausschuss,IF(TabDH[[#This Row],[R6]]+COUNTIF(TabDH[[R1]:[R19]],TabDH[[#This Row],[R6]])-1&lt;=Sitze_Ausschuss,"SITZ","PATT"),"")</f>
        <v/>
      </c>
      <c r="EB16" s="54" t="str">
        <f>IF(TabDH[[#This Row],[R7]]&lt;=Sitze_Ausschuss,IF(TabDH[[#This Row],[R7]]+COUNTIF(TabDH[[R1]:[R19]],TabDH[[#This Row],[R7]])-1&lt;=Sitze_Ausschuss,"SITZ","PATT"),"")</f>
        <v/>
      </c>
      <c r="EC16" s="54" t="str">
        <f>IF(TabDH[[#This Row],[R8]]&lt;=Sitze_Ausschuss,IF(TabDH[[#This Row],[R8]]+COUNTIF(TabDH[[R1]:[R19]],TabDH[[#This Row],[R8]])-1&lt;=Sitze_Ausschuss,"SITZ","PATT"),"")</f>
        <v/>
      </c>
      <c r="ED16" s="54" t="str">
        <f>IF(TabDH[[#This Row],[R9]]&lt;=Sitze_Ausschuss,IF(TabDH[[#This Row],[R9]]+COUNTIF(TabDH[[R1]:[R19]],TabDH[[#This Row],[R9]])-1&lt;=Sitze_Ausschuss,"SITZ","PATT"),"")</f>
        <v/>
      </c>
      <c r="EE16" s="54" t="str">
        <f>IF(TabDH[[#This Row],[R10]]&lt;=Sitze_Ausschuss,IF(TabDH[[#This Row],[R10]]+COUNTIF(TabDH[[R1]:[R19]],TabDH[[#This Row],[R10]])-1&lt;=Sitze_Ausschuss,"SITZ","PATT"),"")</f>
        <v/>
      </c>
      <c r="EF16" s="54" t="str">
        <f>IF(TabDH[[#This Row],[R11]]&lt;=Sitze_Ausschuss,IF(TabDH[[#This Row],[R11]]+COUNTIF(TabDH[[R1]:[R19]],TabDH[[#This Row],[R11]])-1&lt;=Sitze_Ausschuss,"SITZ","PATT"),"")</f>
        <v/>
      </c>
      <c r="EG16" s="54" t="str">
        <f>IF(TabDH[[#This Row],[R12]]&lt;=Sitze_Ausschuss,IF(TabDH[[#This Row],[R12]]+COUNTIF(TabDH[[R1]:[R19]],TabDH[[#This Row],[R12]])-1&lt;=Sitze_Ausschuss,"SITZ","PATT"),"")</f>
        <v/>
      </c>
      <c r="EH16" s="54" t="str">
        <f>IF(TabDH[[#This Row],[R13]]&lt;=Sitze_Ausschuss,IF(TabDH[[#This Row],[R13]]+COUNTIF(TabDH[[R1]:[R19]],TabDH[[#This Row],[R13]])-1&lt;=Sitze_Ausschuss,"SITZ","PATT"),"")</f>
        <v/>
      </c>
      <c r="EI16" s="54" t="str">
        <f>IF(TabDH[[#This Row],[R14]]&lt;=Sitze_Ausschuss,IF(TabDH[[#This Row],[R14]]+COUNTIF(TabDH[[R1]:[R19]],TabDH[[#This Row],[R14]])-1&lt;=Sitze_Ausschuss,"SITZ","PATT"),"")</f>
        <v/>
      </c>
      <c r="EJ16" s="54" t="str">
        <f>IF(TabDH[[#This Row],[R15]]&lt;=Sitze_Ausschuss,IF(TabDH[[#This Row],[R15]]+COUNTIF(TabDH[[R1]:[R19]],TabDH[[#This Row],[R15]])-1&lt;=Sitze_Ausschuss,"SITZ","PATT"),"")</f>
        <v/>
      </c>
      <c r="EK16" s="54" t="str">
        <f>IF(TabDH[[#This Row],[R16]]&lt;=Sitze_Ausschuss,IF(TabDH[[#This Row],[R16]]+COUNTIF(TabDH[[R1]:[R19]],TabDH[[#This Row],[R16]])-1&lt;=Sitze_Ausschuss,"SITZ","PATT"),"")</f>
        <v/>
      </c>
      <c r="EL16" s="54" t="str">
        <f>IF(TabDH[[#This Row],[R17]]&lt;=Sitze_Ausschuss,IF(TabDH[[#This Row],[R17]]+COUNTIF(TabDH[[R1]:[R19]],TabDH[[#This Row],[R17]])-1&lt;=Sitze_Ausschuss,"SITZ","PATT"),"")</f>
        <v/>
      </c>
      <c r="EM16" s="54" t="str">
        <f>IF(TabDH[[#This Row],[R18]]&lt;=Sitze_Ausschuss,IF(TabDH[[#This Row],[R18]]+COUNTIF(TabDH[[R1]:[R19]],TabDH[[#This Row],[R18]])-1&lt;=Sitze_Ausschuss,"SITZ","PATT"),"")</f>
        <v/>
      </c>
      <c r="EN16" s="54" t="str">
        <f>IF(TabDH[[#This Row],[R19]]&lt;=Sitze_Ausschuss,IF(TabDH[[#This Row],[R19]]+COUNTIF(TabDH[[R1]:[R19]],TabDH[[#This Row],[R19]])-1&lt;=Sitze_Ausschuss,"SITZ","PATT"),"")</f>
        <v/>
      </c>
      <c r="EO16" s="56" t="b">
        <f>COUNTIF(TabDH[[#This Row],[SP1]:[SP19]],"PATT")&gt;0</f>
        <v>0</v>
      </c>
      <c r="EP16" s="42">
        <f>IF(TabDH[[#This Row],[Patt]],(Sitze_Ausschuss-SUM(TabDH[Sitze]))/TabDH[[#Totals],[Patt]],0)</f>
        <v>0</v>
      </c>
      <c r="EQ16" s="57">
        <f>TabDH[[#This Row],[Patt]]*IF(Pattaufloesung="Stimmen",TabPatt[[#This Row],[Stimmen]],TabPatt[[#This Row],[Loserfolg]])*1</f>
        <v>0</v>
      </c>
      <c r="ER16" s="58" t="b">
        <f>_xlfn.RANK.EQ(TabDH[[#This Row],[Stimmen/Gelost]],TabDH[Stimmen/Gelost],0)&lt;=(Sitze_Ausschuss-SUM(TabDH[Sitze]))</f>
        <v>1</v>
      </c>
      <c r="ES16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6" s="3"/>
      <c r="EU16" s="60" t="str">
        <f>Grunddaten[[#This Row],[Partei/Wählergruppe]]&amp;""</f>
        <v>Wählergruppe A</v>
      </c>
      <c r="EV16" s="85">
        <v>987</v>
      </c>
      <c r="EW16" s="66" t="b">
        <v>0</v>
      </c>
      <c r="EX16" s="3"/>
      <c r="EY16" s="3"/>
      <c r="EZ16" s="3"/>
      <c r="FA16" s="3"/>
      <c r="FB16" s="3"/>
    </row>
    <row r="17" spans="1:158" ht="15.75" thickBot="1" x14ac:dyDescent="0.3">
      <c r="A17" s="3"/>
      <c r="B17" s="67" t="s">
        <v>172</v>
      </c>
      <c r="C17" s="133">
        <v>0</v>
      </c>
      <c r="D17" s="83">
        <f>Grunddaten[[#This Row],[Sitze im Hauptorgan]]/Grunddaten[[#Totals],[Sitze im Hauptorgan]]*Sitze_Ausschuss</f>
        <v>0</v>
      </c>
      <c r="E17" s="33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</v>
      </c>
      <c r="F17" s="61" t="str">
        <f t="shared" si="0"/>
        <v>OK</v>
      </c>
      <c r="G17" s="62" t="str">
        <f>IF(TabSLS[[#This Row],[QK verletzt]],"NOK","OK")</f>
        <v>OK</v>
      </c>
      <c r="H17" s="63" t="str">
        <f>IF(TabDH[[#This Row],[QK verletzt]],"NOK","OK")</f>
        <v>OK</v>
      </c>
      <c r="I17" s="3"/>
      <c r="J17" s="37">
        <f>TabHN[[#This Row],[S ganz]]+IF(NOT(TabHN[[#This Row],[Patt]]),TabHN[[#This Row],[Restsitz]],0)</f>
        <v>0</v>
      </c>
      <c r="K17" s="38">
        <f>IF(TabHN[[#This Row],[Patt]],IF(Pattaufloesung="Los-Chance",TabHN[[#This Row],[Los Chance]],TabHN[[#This Row],[Pattgewinn]]+0),0)</f>
        <v>0</v>
      </c>
      <c r="L17" s="39">
        <f>INT(Grunddaten[[#This Row],[Proporzgenaue Zahl Ausschuss]])</f>
        <v>0</v>
      </c>
      <c r="M17" s="40">
        <f>ROUND(Grunddaten[[#This Row],[Proporzgenaue Zahl Ausschuss]]-TabHN[[#This Row],[S ganz]],4)</f>
        <v>0</v>
      </c>
      <c r="N17" s="41">
        <f>_xlfn.RANK.EQ(TabHN[[#This Row],[S Rest]],TabHN[S Rest],0)</f>
        <v>10</v>
      </c>
      <c r="O17" s="39">
        <f>IF(TabHN[[#This Row],[Rng Rest]]&lt;=TabHN[[#Totals],[S Rest]],1,0)</f>
        <v>0</v>
      </c>
      <c r="P17" s="39" t="b">
        <f>AND(TabHN[[#This Row],[Restsitz]]=1,(COUNTIF(TabHN[Rng Rest],TabHN[[#This Row],[Rng Rest]])+TabHN[[#This Row],[Rng Rest]]-1)&gt;TabHN[[#Totals],[S Rest]])</f>
        <v>0</v>
      </c>
      <c r="Q17" s="42">
        <f>IF(TabHN[[#This Row],[Patt]],(Sitze_Ausschuss-SUM(TabHN[Sitze]))/TabHN[[#Totals],[Patt]],0)</f>
        <v>0</v>
      </c>
      <c r="R17" s="43">
        <f>TabHN[[#This Row],[Patt]]*IF(Pattaufloesung="Stimmen",TabPatt[[#This Row],[Stimmen]],TabPatt[[#This Row],[Loserfolg]])*1</f>
        <v>0</v>
      </c>
      <c r="S17" s="44" t="b">
        <f>_xlfn.RANK.EQ(TabHN[[#This Row],[Stimmen/Gelost]],TabHN[Stimmen/Gelost],0)&lt;=(Sitze_Ausschuss-SUM(TabHN[Sitze]))</f>
        <v>1</v>
      </c>
      <c r="T17" s="3"/>
      <c r="U17" s="45">
        <f>COUNTIF(TabSLS[[#This Row],[SP1]:[SP37]],"SITZ")</f>
        <v>0</v>
      </c>
      <c r="V17" s="46">
        <f>IF(TabSLS[[#This Row],[Patt?]],IF(Pattaufloesung="Los-Chance",TabSLS[[#This Row],[Los Chance]],TabSLS[[#This Row],[Pattgewinn]]+0),0)</f>
        <v>0</v>
      </c>
      <c r="W17" s="47">
        <f>Grunddaten[[#This Row],[Sitze im Hauptorgan]]/_xlfn.NUMBERVALUE(MID(INDEX(TabSLS[[#Headers],[:1]:[:37]],COLUMN()-COLUMN(TabSLS[[#Headers],[:1]])+1),2,3))</f>
        <v>0</v>
      </c>
      <c r="X17" s="48">
        <f>Grunddaten[[#This Row],[Sitze im Hauptorgan]]/_xlfn.NUMBERVALUE(MID(INDEX(TabSLS[[#Headers],[:1]:[:37]],COLUMN()-COLUMN(TabSLS[[#Headers],[:1]])+1),2,3))</f>
        <v>0</v>
      </c>
      <c r="Y17" s="48">
        <f>Grunddaten[[#This Row],[Sitze im Hauptorgan]]/_xlfn.NUMBERVALUE(MID(INDEX(TabSLS[[#Headers],[:1]:[:37]],COLUMN()-COLUMN(TabSLS[[#Headers],[:1]])+1),2,3))</f>
        <v>0</v>
      </c>
      <c r="Z17" s="48">
        <f>Grunddaten[[#This Row],[Sitze im Hauptorgan]]/_xlfn.NUMBERVALUE(MID(INDEX(TabSLS[[#Headers],[:1]:[:37]],COLUMN()-COLUMN(TabSLS[[#Headers],[:1]])+1),2,3))</f>
        <v>0</v>
      </c>
      <c r="AA17" s="48">
        <f>Grunddaten[[#This Row],[Sitze im Hauptorgan]]/_xlfn.NUMBERVALUE(MID(INDEX(TabSLS[[#Headers],[:1]:[:37]],COLUMN()-COLUMN(TabSLS[[#Headers],[:1]])+1),2,3))</f>
        <v>0</v>
      </c>
      <c r="AB17" s="48">
        <f>Grunddaten[[#This Row],[Sitze im Hauptorgan]]/_xlfn.NUMBERVALUE(MID(INDEX(TabSLS[[#Headers],[:1]:[:37]],COLUMN()-COLUMN(TabSLS[[#Headers],[:1]])+1),2,3))</f>
        <v>0</v>
      </c>
      <c r="AC17" s="48">
        <f>Grunddaten[[#This Row],[Sitze im Hauptorgan]]/_xlfn.NUMBERVALUE(MID(INDEX(TabSLS[[#Headers],[:1]:[:37]],COLUMN()-COLUMN(TabSLS[[#Headers],[:1]])+1),2,3))</f>
        <v>0</v>
      </c>
      <c r="AD17" s="48">
        <f>Grunddaten[[#This Row],[Sitze im Hauptorgan]]/_xlfn.NUMBERVALUE(MID(INDEX(TabSLS[[#Headers],[:1]:[:37]],COLUMN()-COLUMN(TabSLS[[#Headers],[:1]])+1),2,3))</f>
        <v>0</v>
      </c>
      <c r="AE17" s="48">
        <f>Grunddaten[[#This Row],[Sitze im Hauptorgan]]/_xlfn.NUMBERVALUE(MID(INDEX(TabSLS[[#Headers],[:1]:[:37]],COLUMN()-COLUMN(TabSLS[[#Headers],[:1]])+1),2,3))</f>
        <v>0</v>
      </c>
      <c r="AF17" s="48">
        <f>Grunddaten[[#This Row],[Sitze im Hauptorgan]]/_xlfn.NUMBERVALUE(MID(INDEX(TabSLS[[#Headers],[:1]:[:37]],COLUMN()-COLUMN(TabSLS[[#Headers],[:1]])+1),2,3))</f>
        <v>0</v>
      </c>
      <c r="AG17" s="48">
        <f>Grunddaten[[#This Row],[Sitze im Hauptorgan]]/_xlfn.NUMBERVALUE(MID(INDEX(TabSLS[[#Headers],[:1]:[:37]],COLUMN()-COLUMN(TabSLS[[#Headers],[:1]])+1),2,3))</f>
        <v>0</v>
      </c>
      <c r="AH17" s="48">
        <f>Grunddaten[[#This Row],[Sitze im Hauptorgan]]/_xlfn.NUMBERVALUE(MID(INDEX(TabSLS[[#Headers],[:1]:[:37]],COLUMN()-COLUMN(TabSLS[[#Headers],[:1]])+1),2,3))</f>
        <v>0</v>
      </c>
      <c r="AI17" s="48">
        <f>Grunddaten[[#This Row],[Sitze im Hauptorgan]]/_xlfn.NUMBERVALUE(MID(INDEX(TabSLS[[#Headers],[:1]:[:37]],COLUMN()-COLUMN(TabSLS[[#Headers],[:1]])+1),2,3))</f>
        <v>0</v>
      </c>
      <c r="AJ17" s="48">
        <f>Grunddaten[[#This Row],[Sitze im Hauptorgan]]/_xlfn.NUMBERVALUE(MID(INDEX(TabSLS[[#Headers],[:1]:[:37]],COLUMN()-COLUMN(TabSLS[[#Headers],[:1]])+1),2,3))</f>
        <v>0</v>
      </c>
      <c r="AK17" s="48">
        <f>Grunddaten[[#This Row],[Sitze im Hauptorgan]]/_xlfn.NUMBERVALUE(MID(INDEX(TabSLS[[#Headers],[:1]:[:37]],COLUMN()-COLUMN(TabSLS[[#Headers],[:1]])+1),2,3))</f>
        <v>0</v>
      </c>
      <c r="AL17" s="48">
        <f>Grunddaten[[#This Row],[Sitze im Hauptorgan]]/_xlfn.NUMBERVALUE(MID(INDEX(TabSLS[[#Headers],[:1]:[:37]],COLUMN()-COLUMN(TabSLS[[#Headers],[:1]])+1),2,3))</f>
        <v>0</v>
      </c>
      <c r="AM17" s="48">
        <f>Grunddaten[[#This Row],[Sitze im Hauptorgan]]/_xlfn.NUMBERVALUE(MID(INDEX(TabSLS[[#Headers],[:1]:[:37]],COLUMN()-COLUMN(TabSLS[[#Headers],[:1]])+1),2,3))</f>
        <v>0</v>
      </c>
      <c r="AN17" s="48">
        <f>Grunddaten[[#This Row],[Sitze im Hauptorgan]]/_xlfn.NUMBERVALUE(MID(INDEX(TabSLS[[#Headers],[:1]:[:37]],COLUMN()-COLUMN(TabSLS[[#Headers],[:1]])+1),2,3))</f>
        <v>0</v>
      </c>
      <c r="AO17" s="49">
        <f>Grunddaten[[#This Row],[Sitze im Hauptorgan]]/_xlfn.NUMBERVALUE(MID(INDEX(TabSLS[[#Headers],[:1]:[:37]],COLUMN()-COLUMN(TabSLS[[#Headers],[:1]])+1),2,3))</f>
        <v>0</v>
      </c>
      <c r="AP17" s="50">
        <f>_xlfn.RANK.EQ(TabSLS[[#This Row],[:1]],TabSLS[[:1]:[:37]],0)</f>
        <v>172</v>
      </c>
      <c r="AQ17" s="51">
        <f>_xlfn.RANK.EQ(TabSLS[[#This Row],[:3]],TabSLS[[:1]:[:37]],0)</f>
        <v>172</v>
      </c>
      <c r="AR17" s="51">
        <f>_xlfn.RANK.EQ(TabSLS[[#This Row],[:5]],TabSLS[[:1]:[:37]],0)</f>
        <v>172</v>
      </c>
      <c r="AS17" s="51">
        <f>_xlfn.RANK.EQ(TabSLS[[#This Row],[:7]],TabSLS[[:1]:[:37]],0)</f>
        <v>172</v>
      </c>
      <c r="AT17" s="51">
        <f>_xlfn.RANK.EQ(TabSLS[[#This Row],[:9]],TabSLS[[:1]:[:37]],0)</f>
        <v>172</v>
      </c>
      <c r="AU17" s="51">
        <f>_xlfn.RANK.EQ(TabSLS[[#This Row],[:11]],TabSLS[[:1]:[:37]],0)</f>
        <v>172</v>
      </c>
      <c r="AV17" s="51">
        <f>_xlfn.RANK.EQ(TabSLS[[#This Row],[:13]],TabSLS[[:1]:[:37]],0)</f>
        <v>172</v>
      </c>
      <c r="AW17" s="51">
        <f>_xlfn.RANK.EQ(TabSLS[[#This Row],[:15]],TabSLS[[:1]:[:37]],0)</f>
        <v>172</v>
      </c>
      <c r="AX17" s="51">
        <f>_xlfn.RANK.EQ(TabSLS[[#This Row],[:17]],TabSLS[[:1]:[:37]],0)</f>
        <v>172</v>
      </c>
      <c r="AY17" s="51">
        <f>_xlfn.RANK.EQ(TabSLS[[#This Row],[:19]],TabSLS[[:1]:[:37]],0)</f>
        <v>172</v>
      </c>
      <c r="AZ17" s="51">
        <f>_xlfn.RANK.EQ(TabSLS[[#This Row],[:21]],TabSLS[[:1]:[:37]],0)</f>
        <v>172</v>
      </c>
      <c r="BA17" s="51">
        <f>_xlfn.RANK.EQ(TabSLS[[#This Row],[:23]],TabSLS[[:1]:[:37]],0)</f>
        <v>172</v>
      </c>
      <c r="BB17" s="51">
        <f>_xlfn.RANK.EQ(TabSLS[[#This Row],[:25]],TabSLS[[:1]:[:37]],0)</f>
        <v>172</v>
      </c>
      <c r="BC17" s="51">
        <f>_xlfn.RANK.EQ(TabSLS[[#This Row],[:27]],TabSLS[[:1]:[:37]],0)</f>
        <v>172</v>
      </c>
      <c r="BD17" s="51">
        <f>_xlfn.RANK.EQ(TabSLS[[#This Row],[:29]],TabSLS[[:1]:[:37]],0)</f>
        <v>172</v>
      </c>
      <c r="BE17" s="51">
        <f>_xlfn.RANK.EQ(TabSLS[[#This Row],[:31]],TabSLS[[:1]:[:37]],0)</f>
        <v>172</v>
      </c>
      <c r="BF17" s="51">
        <f>_xlfn.RANK.EQ(TabSLS[[#This Row],[:33]],TabSLS[[:1]:[:37]],0)</f>
        <v>172</v>
      </c>
      <c r="BG17" s="51">
        <f>_xlfn.RANK.EQ(TabSLS[[#This Row],[:35]],TabSLS[[:1]:[:37]],0)</f>
        <v>172</v>
      </c>
      <c r="BH17" s="52">
        <f>_xlfn.RANK.EQ(TabSLS[[#This Row],[:37]],TabSLS[[:1]:[:37]],0)</f>
        <v>172</v>
      </c>
      <c r="BI17" s="53" t="str">
        <f>IF(TabSLS[[#This Row],[R1]]&lt;=Sitze_Ausschuss,IF(TabSLS[[#This Row],[R1]]+COUNTIF(TabSLS[[R1]:[R37]],TabSLS[[#This Row],[R1]])-1&lt;=Sitze_Ausschuss,"SITZ","PATT"),"")</f>
        <v/>
      </c>
      <c r="BJ17" s="54" t="str">
        <f>IF(TabSLS[[#This Row],[R3]]&lt;=Sitze_Ausschuss,IF(TabSLS[[#This Row],[R3]]+COUNTIF(TabSLS[[R1]:[R37]],TabSLS[[#This Row],[R3]])-1&lt;=Sitze_Ausschuss,"SITZ","PATT"),"")</f>
        <v/>
      </c>
      <c r="BK17" s="54" t="str">
        <f>IF(TabSLS[[#This Row],[R5]]&lt;=Sitze_Ausschuss,IF(TabSLS[[#This Row],[R5]]+COUNTIF(TabSLS[[R1]:[R37]],TabSLS[[#This Row],[R5]])-1&lt;=Sitze_Ausschuss,"SITZ","PATT"),"")</f>
        <v/>
      </c>
      <c r="BL17" s="54" t="str">
        <f>IF(TabSLS[[#This Row],[R7]]&lt;=Sitze_Ausschuss,IF(TabSLS[[#This Row],[R7]]+COUNTIF(TabSLS[[R1]:[R37]],TabSLS[[#This Row],[R7]])-1&lt;=Sitze_Ausschuss,"SITZ","PATT"),"")</f>
        <v/>
      </c>
      <c r="BM17" s="54" t="str">
        <f>IF(TabSLS[[#This Row],[R9]]&lt;=Sitze_Ausschuss,IF(TabSLS[[#This Row],[R9]]+COUNTIF(TabSLS[[R1]:[R37]],TabSLS[[#This Row],[R9]])-1&lt;=Sitze_Ausschuss,"SITZ","PATT"),"")</f>
        <v/>
      </c>
      <c r="BN17" s="54" t="str">
        <f>IF(TabSLS[[#This Row],[R11]]&lt;=Sitze_Ausschuss,IF(TabSLS[[#This Row],[R11]]+COUNTIF(TabSLS[[R1]:[R37]],TabSLS[[#This Row],[R11]])-1&lt;=Sitze_Ausschuss,"SITZ","PATT"),"")</f>
        <v/>
      </c>
      <c r="BO17" s="54" t="str">
        <f>IF(TabSLS[[#This Row],[R13]]&lt;=Sitze_Ausschuss,IF(TabSLS[[#This Row],[R13]]+COUNTIF(TabSLS[[R1]:[R37]],TabSLS[[#This Row],[R13]])-1&lt;=Sitze_Ausschuss,"SITZ","PATT"),"")</f>
        <v/>
      </c>
      <c r="BP17" s="54" t="str">
        <f>IF(TabSLS[[#This Row],[R15]]&lt;=Sitze_Ausschuss,IF(TabSLS[[#This Row],[R15]]+COUNTIF(TabSLS[[R1]:[R37]],TabSLS[[#This Row],[R15]])-1&lt;=Sitze_Ausschuss,"SITZ","PATT"),"")</f>
        <v/>
      </c>
      <c r="BQ17" s="54" t="str">
        <f>IF(TabSLS[[#This Row],[R17]]&lt;=Sitze_Ausschuss,IF(TabSLS[[#This Row],[R17]]+COUNTIF(TabSLS[[R1]:[R37]],TabSLS[[#This Row],[R17]])-1&lt;=Sitze_Ausschuss,"SITZ","PATT"),"")</f>
        <v/>
      </c>
      <c r="BR17" s="54" t="str">
        <f>IF(TabSLS[[#This Row],[R19]]&lt;=Sitze_Ausschuss,IF(TabSLS[[#This Row],[R19]]+COUNTIF(TabSLS[[R1]:[R37]],TabSLS[[#This Row],[R19]])-1&lt;=Sitze_Ausschuss,"SITZ","PATT"),"")</f>
        <v/>
      </c>
      <c r="BS17" s="54" t="str">
        <f>IF(TabSLS[[#This Row],[R21]]&lt;=Sitze_Ausschuss,IF(TabSLS[[#This Row],[R21]]+COUNTIF(TabSLS[[R1]:[R37]],TabSLS[[#This Row],[R21]])-1&lt;=Sitze_Ausschuss,"SITZ","PATT"),"")</f>
        <v/>
      </c>
      <c r="BT17" s="54" t="str">
        <f>IF(TabSLS[[#This Row],[R23]]&lt;=Sitze_Ausschuss,IF(TabSLS[[#This Row],[R23]]+COUNTIF(TabSLS[[R1]:[R37]],TabSLS[[#This Row],[R23]])-1&lt;=Sitze_Ausschuss,"SITZ","PATT"),"")</f>
        <v/>
      </c>
      <c r="BU17" s="54" t="str">
        <f>IF(TabSLS[[#This Row],[R25]]&lt;=Sitze_Ausschuss,IF(TabSLS[[#This Row],[R25]]+COUNTIF(TabSLS[[R1]:[R37]],TabSLS[[#This Row],[R25]])-1&lt;=Sitze_Ausschuss,"SITZ","PATT"),"")</f>
        <v/>
      </c>
      <c r="BV17" s="54" t="str">
        <f>IF(TabSLS[[#This Row],[R27]]&lt;=Sitze_Ausschuss,IF(TabSLS[[#This Row],[R27]]+COUNTIF(TabSLS[[R1]:[R37]],TabSLS[[#This Row],[R27]])-1&lt;=Sitze_Ausschuss,"SITZ","PATT"),"")</f>
        <v/>
      </c>
      <c r="BW17" s="54" t="str">
        <f>IF(TabSLS[[#This Row],[R29]]&lt;=Sitze_Ausschuss,IF(TabSLS[[#This Row],[R29]]+COUNTIF(TabSLS[[R1]:[R37]],TabSLS[[#This Row],[R29]])-1&lt;=Sitze_Ausschuss,"SITZ","PATT"),"")</f>
        <v/>
      </c>
      <c r="BX17" s="54" t="str">
        <f>IF(TabSLS[[#This Row],[R31]]&lt;=Sitze_Ausschuss,IF(TabSLS[[#This Row],[R31]]+COUNTIF(TabSLS[[R1]:[R37]],TabSLS[[#This Row],[R31]])-1&lt;=Sitze_Ausschuss,"SITZ","PATT"),"")</f>
        <v/>
      </c>
      <c r="BY17" s="54" t="str">
        <f>IF(TabSLS[[#This Row],[R33]]&lt;=Sitze_Ausschuss,IF(TabSLS[[#This Row],[R33]]+COUNTIF(TabSLS[[R1]:[R37]],TabSLS[[#This Row],[R33]])-1&lt;=Sitze_Ausschuss,"SITZ","PATT"),"")</f>
        <v/>
      </c>
      <c r="BZ17" s="54" t="str">
        <f>IF(TabSLS[[#This Row],[R35]]&lt;=Sitze_Ausschuss,IF(TabSLS[[#This Row],[R35]]+COUNTIF(TabSLS[[R1]:[R37]],TabSLS[[#This Row],[R35]])-1&lt;=Sitze_Ausschuss,"SITZ","PATT"),"")</f>
        <v/>
      </c>
      <c r="CA17" s="55" t="str">
        <f>IF(TabSLS[[#This Row],[R37]]&lt;=Sitze_Ausschuss,IF(TabSLS[[#This Row],[R37]]+COUNTIF(TabSLS[[R1]:[R37]],TabSLS[[#This Row],[R37]])-1&lt;=Sitze_Ausschuss,"SITZ","PATT"),"")</f>
        <v/>
      </c>
      <c r="CB17" s="56" t="b">
        <f>COUNTIF(TabSLS[[#This Row],[SP1]:[SP37]],"PATT")&gt;0</f>
        <v>0</v>
      </c>
      <c r="CC17" s="42">
        <f>IF(TabSLS[[#This Row],[Patt?]],(Sitze_Ausschuss-SUM(TabSLS[Sitze]))/TabSLS[[#Totals],[Patt?]],0)</f>
        <v>0</v>
      </c>
      <c r="CD17" s="57">
        <f>TabSLS[[#This Row],[Patt?]]*IF(Pattaufloesung="Stimmen",TabPatt[[#This Row],[Stimmen]],TabPatt[[#This Row],[Loserfolg]])*1</f>
        <v>0</v>
      </c>
      <c r="CE17" s="58" t="b">
        <f>_xlfn.RANK.EQ(TabSLS[[#This Row],[Stimmen Gelost]],TabSLS[Stimmen Gelost],0)&lt;=(Sitze_Ausschuss-SUM(TabSLS[Sitze]))</f>
        <v>1</v>
      </c>
      <c r="CF17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7" s="3"/>
      <c r="CH17" s="45">
        <f>COUNTIF(TabDH[[#This Row],[SP1]:[SP19]],"SITZ")</f>
        <v>0</v>
      </c>
      <c r="CI17" s="46">
        <f>IF(TabDH[[#This Row],[Patt]],IF(Pattaufloesung="Los-Chance",TabDH[[#This Row],[Los Chance]],TabDH[[#This Row],[Pattgewinn]]+0),0)</f>
        <v>0</v>
      </c>
      <c r="CJ17" s="47">
        <f>Grunddaten[[#This Row],[Sitze im Hauptorgan]]/_xlfn.NUMBERVALUE(MID(INDEX(TabDH[[#Headers],[:1]:[:19]],COLUMN()-COLUMN(TabDH[[#Headers],[:1]])+1),2,3))</f>
        <v>0</v>
      </c>
      <c r="CK17" s="48">
        <f>Grunddaten[[#This Row],[Sitze im Hauptorgan]]/_xlfn.NUMBERVALUE(MID(INDEX(TabDH[[#Headers],[:1]:[:19]],COLUMN()-COLUMN(TabDH[[#Headers],[:1]])+1),2,3))</f>
        <v>0</v>
      </c>
      <c r="CL17" s="48">
        <f>Grunddaten[[#This Row],[Sitze im Hauptorgan]]/_xlfn.NUMBERVALUE(MID(INDEX(TabDH[[#Headers],[:1]:[:19]],COLUMN()-COLUMN(TabDH[[#Headers],[:1]])+1),2,3))</f>
        <v>0</v>
      </c>
      <c r="CM17" s="48">
        <f>Grunddaten[[#This Row],[Sitze im Hauptorgan]]/_xlfn.NUMBERVALUE(MID(INDEX(TabDH[[#Headers],[:1]:[:19]],COLUMN()-COLUMN(TabDH[[#Headers],[:1]])+1),2,3))</f>
        <v>0</v>
      </c>
      <c r="CN17" s="48">
        <f>Grunddaten[[#This Row],[Sitze im Hauptorgan]]/_xlfn.NUMBERVALUE(MID(INDEX(TabDH[[#Headers],[:1]:[:19]],COLUMN()-COLUMN(TabDH[[#Headers],[:1]])+1),2,3))</f>
        <v>0</v>
      </c>
      <c r="CO17" s="48">
        <f>Grunddaten[[#This Row],[Sitze im Hauptorgan]]/_xlfn.NUMBERVALUE(MID(INDEX(TabDH[[#Headers],[:1]:[:19]],COLUMN()-COLUMN(TabDH[[#Headers],[:1]])+1),2,3))</f>
        <v>0</v>
      </c>
      <c r="CP17" s="48">
        <f>Grunddaten[[#This Row],[Sitze im Hauptorgan]]/_xlfn.NUMBERVALUE(MID(INDEX(TabDH[[#Headers],[:1]:[:19]],COLUMN()-COLUMN(TabDH[[#Headers],[:1]])+1),2,3))</f>
        <v>0</v>
      </c>
      <c r="CQ17" s="48">
        <f>Grunddaten[[#This Row],[Sitze im Hauptorgan]]/_xlfn.NUMBERVALUE(MID(INDEX(TabDH[[#Headers],[:1]:[:19]],COLUMN()-COLUMN(TabDH[[#Headers],[:1]])+1),2,3))</f>
        <v>0</v>
      </c>
      <c r="CR17" s="48">
        <f>Grunddaten[[#This Row],[Sitze im Hauptorgan]]/_xlfn.NUMBERVALUE(MID(INDEX(TabDH[[#Headers],[:1]:[:19]],COLUMN()-COLUMN(TabDH[[#Headers],[:1]])+1),2,3))</f>
        <v>0</v>
      </c>
      <c r="CS17" s="48">
        <f>Grunddaten[[#This Row],[Sitze im Hauptorgan]]/_xlfn.NUMBERVALUE(MID(INDEX(TabDH[[#Headers],[:1]:[:19]],COLUMN()-COLUMN(TabDH[[#Headers],[:1]])+1),2,3))</f>
        <v>0</v>
      </c>
      <c r="CT17" s="48">
        <f>Grunddaten[[#This Row],[Sitze im Hauptorgan]]/_xlfn.NUMBERVALUE(MID(INDEX(TabDH[[#Headers],[:1]:[:19]],COLUMN()-COLUMN(TabDH[[#Headers],[:1]])+1),2,3))</f>
        <v>0</v>
      </c>
      <c r="CU17" s="48">
        <f>Grunddaten[[#This Row],[Sitze im Hauptorgan]]/_xlfn.NUMBERVALUE(MID(INDEX(TabDH[[#Headers],[:1]:[:19]],COLUMN()-COLUMN(TabDH[[#Headers],[:1]])+1),2,3))</f>
        <v>0</v>
      </c>
      <c r="CV17" s="48">
        <f>Grunddaten[[#This Row],[Sitze im Hauptorgan]]/_xlfn.NUMBERVALUE(MID(INDEX(TabDH[[#Headers],[:1]:[:19]],COLUMN()-COLUMN(TabDH[[#Headers],[:1]])+1),2,3))</f>
        <v>0</v>
      </c>
      <c r="CW17" s="48">
        <f>Grunddaten[[#This Row],[Sitze im Hauptorgan]]/_xlfn.NUMBERVALUE(MID(INDEX(TabDH[[#Headers],[:1]:[:19]],COLUMN()-COLUMN(TabDH[[#Headers],[:1]])+1),2,3))</f>
        <v>0</v>
      </c>
      <c r="CX17" s="48">
        <f>Grunddaten[[#This Row],[Sitze im Hauptorgan]]/_xlfn.NUMBERVALUE(MID(INDEX(TabDH[[#Headers],[:1]:[:19]],COLUMN()-COLUMN(TabDH[[#Headers],[:1]])+1),2,3))</f>
        <v>0</v>
      </c>
      <c r="CY17" s="48">
        <f>Grunddaten[[#This Row],[Sitze im Hauptorgan]]/_xlfn.NUMBERVALUE(MID(INDEX(TabDH[[#Headers],[:1]:[:19]],COLUMN()-COLUMN(TabDH[[#Headers],[:1]])+1),2,3))</f>
        <v>0</v>
      </c>
      <c r="CZ17" s="48">
        <f>Grunddaten[[#This Row],[Sitze im Hauptorgan]]/_xlfn.NUMBERVALUE(MID(INDEX(TabDH[[#Headers],[:1]:[:19]],COLUMN()-COLUMN(TabDH[[#Headers],[:1]])+1),2,3))</f>
        <v>0</v>
      </c>
      <c r="DA17" s="48">
        <f>Grunddaten[[#This Row],[Sitze im Hauptorgan]]/_xlfn.NUMBERVALUE(MID(INDEX(TabDH[[#Headers],[:1]:[:19]],COLUMN()-COLUMN(TabDH[[#Headers],[:1]])+1),2,3))</f>
        <v>0</v>
      </c>
      <c r="DB17" s="49">
        <f>Grunddaten[[#This Row],[Sitze im Hauptorgan]]/_xlfn.NUMBERVALUE(MID(INDEX(TabDH[[#Headers],[:1]:[:19]],COLUMN()-COLUMN(TabDH[[#Headers],[:1]])+1),2,3))</f>
        <v>0</v>
      </c>
      <c r="DC17" s="50">
        <f>_xlfn.RANK.EQ(TabDH[[#This Row],[:1]],TabDH[[:1]:[:19]],0)</f>
        <v>172</v>
      </c>
      <c r="DD17" s="51">
        <f>_xlfn.RANK.EQ(TabDH[[#This Row],[:2]],TabDH[[:1]:[:19]],0)</f>
        <v>172</v>
      </c>
      <c r="DE17" s="51">
        <f>_xlfn.RANK.EQ(TabDH[[#This Row],[:3]],TabDH[[:1]:[:19]],0)</f>
        <v>172</v>
      </c>
      <c r="DF17" s="51">
        <f>_xlfn.RANK.EQ(TabDH[[#This Row],[:4]],TabDH[[:1]:[:19]],0)</f>
        <v>172</v>
      </c>
      <c r="DG17" s="51">
        <f>_xlfn.RANK.EQ(TabDH[[#This Row],[:5]],TabDH[[:1]:[:19]],0)</f>
        <v>172</v>
      </c>
      <c r="DH17" s="51">
        <f>_xlfn.RANK.EQ(TabDH[[#This Row],[:6]],TabDH[[:1]:[:19]],0)</f>
        <v>172</v>
      </c>
      <c r="DI17" s="51">
        <f>_xlfn.RANK.EQ(TabDH[[#This Row],[:7]],TabDH[[:1]:[:19]],0)</f>
        <v>172</v>
      </c>
      <c r="DJ17" s="51">
        <f>_xlfn.RANK.EQ(TabDH[[#This Row],[:8]],TabDH[[:1]:[:19]],0)</f>
        <v>172</v>
      </c>
      <c r="DK17" s="51">
        <f>_xlfn.RANK.EQ(TabDH[[#This Row],[:9]],TabDH[[:1]:[:19]],0)</f>
        <v>172</v>
      </c>
      <c r="DL17" s="51">
        <f>_xlfn.RANK.EQ(TabDH[[#This Row],[:10]],TabDH[[:1]:[:19]],0)</f>
        <v>172</v>
      </c>
      <c r="DM17" s="51">
        <f>_xlfn.RANK.EQ(TabDH[[#This Row],[:11]],TabDH[[:1]:[:19]],0)</f>
        <v>172</v>
      </c>
      <c r="DN17" s="51">
        <f>_xlfn.RANK.EQ(TabDH[[#This Row],[:12]],TabDH[[:1]:[:19]],0)</f>
        <v>172</v>
      </c>
      <c r="DO17" s="51">
        <f>_xlfn.RANK.EQ(TabDH[[#This Row],[:13]],TabDH[[:1]:[:19]],0)</f>
        <v>172</v>
      </c>
      <c r="DP17" s="51">
        <f>_xlfn.RANK.EQ(TabDH[[#This Row],[:14]],TabDH[[:1]:[:19]],0)</f>
        <v>172</v>
      </c>
      <c r="DQ17" s="51">
        <f>_xlfn.RANK.EQ(TabDH[[#This Row],[:15]],TabDH[[:1]:[:19]],0)</f>
        <v>172</v>
      </c>
      <c r="DR17" s="51">
        <f>_xlfn.RANK.EQ(TabDH[[#This Row],[:16]],TabDH[[:1]:[:19]],0)</f>
        <v>172</v>
      </c>
      <c r="DS17" s="51">
        <f>_xlfn.RANK.EQ(TabDH[[#This Row],[:17]],TabDH[[:1]:[:19]],0)</f>
        <v>172</v>
      </c>
      <c r="DT17" s="51">
        <f>_xlfn.RANK.EQ(TabDH[[#This Row],[:18]],TabDH[[:1]:[:19]],0)</f>
        <v>172</v>
      </c>
      <c r="DU17" s="52">
        <f>_xlfn.RANK.EQ(TabDH[[#This Row],[:19]],TabDH[[:1]:[:19]],0)</f>
        <v>172</v>
      </c>
      <c r="DV17" s="53" t="str">
        <f>IF(TabDH[[#This Row],[R1]]&lt;=Sitze_Ausschuss,IF(TabDH[[#This Row],[R1]]+COUNTIF(TabDH[[R1]:[R19]],TabDH[[#This Row],[R1]])-1&lt;=Sitze_Ausschuss,"SITZ","PATT"),"")</f>
        <v/>
      </c>
      <c r="DW17" s="54" t="str">
        <f>IF(TabDH[[#This Row],[R2]]&lt;=Sitze_Ausschuss,IF(TabDH[[#This Row],[R2]]+COUNTIF(TabDH[[R1]:[R19]],TabDH[[#This Row],[R2]])-1&lt;=Sitze_Ausschuss,"SITZ","PATT"),"")</f>
        <v/>
      </c>
      <c r="DX17" s="54" t="str">
        <f>IF(TabDH[[#This Row],[R3]]&lt;=Sitze_Ausschuss,IF(TabDH[[#This Row],[R3]]+COUNTIF(TabDH[[R1]:[R19]],TabDH[[#This Row],[R3]])-1&lt;=Sitze_Ausschuss,"SITZ","PATT"),"")</f>
        <v/>
      </c>
      <c r="DY17" s="54" t="str">
        <f>IF(TabDH[[#This Row],[R4]]&lt;=Sitze_Ausschuss,IF(TabDH[[#This Row],[R4]]+COUNTIF(TabDH[[R1]:[R19]],TabDH[[#This Row],[R4]])-1&lt;=Sitze_Ausschuss,"SITZ","PATT"),"")</f>
        <v/>
      </c>
      <c r="DZ17" s="54" t="str">
        <f>IF(TabDH[[#This Row],[R5]]&lt;=Sitze_Ausschuss,IF(TabDH[[#This Row],[R5]]+COUNTIF(TabDH[[R1]:[R19]],TabDH[[#This Row],[R5]])-1&lt;=Sitze_Ausschuss,"SITZ","PATT"),"")</f>
        <v/>
      </c>
      <c r="EA17" s="54" t="str">
        <f>IF(TabDH[[#This Row],[R6]]&lt;=Sitze_Ausschuss,IF(TabDH[[#This Row],[R6]]+COUNTIF(TabDH[[R1]:[R19]],TabDH[[#This Row],[R6]])-1&lt;=Sitze_Ausschuss,"SITZ","PATT"),"")</f>
        <v/>
      </c>
      <c r="EB17" s="54" t="str">
        <f>IF(TabDH[[#This Row],[R7]]&lt;=Sitze_Ausschuss,IF(TabDH[[#This Row],[R7]]+COUNTIF(TabDH[[R1]:[R19]],TabDH[[#This Row],[R7]])-1&lt;=Sitze_Ausschuss,"SITZ","PATT"),"")</f>
        <v/>
      </c>
      <c r="EC17" s="54" t="str">
        <f>IF(TabDH[[#This Row],[R8]]&lt;=Sitze_Ausschuss,IF(TabDH[[#This Row],[R8]]+COUNTIF(TabDH[[R1]:[R19]],TabDH[[#This Row],[R8]])-1&lt;=Sitze_Ausschuss,"SITZ","PATT"),"")</f>
        <v/>
      </c>
      <c r="ED17" s="54" t="str">
        <f>IF(TabDH[[#This Row],[R9]]&lt;=Sitze_Ausschuss,IF(TabDH[[#This Row],[R9]]+COUNTIF(TabDH[[R1]:[R19]],TabDH[[#This Row],[R9]])-1&lt;=Sitze_Ausschuss,"SITZ","PATT"),"")</f>
        <v/>
      </c>
      <c r="EE17" s="54" t="str">
        <f>IF(TabDH[[#This Row],[R10]]&lt;=Sitze_Ausschuss,IF(TabDH[[#This Row],[R10]]+COUNTIF(TabDH[[R1]:[R19]],TabDH[[#This Row],[R10]])-1&lt;=Sitze_Ausschuss,"SITZ","PATT"),"")</f>
        <v/>
      </c>
      <c r="EF17" s="54" t="str">
        <f>IF(TabDH[[#This Row],[R11]]&lt;=Sitze_Ausschuss,IF(TabDH[[#This Row],[R11]]+COUNTIF(TabDH[[R1]:[R19]],TabDH[[#This Row],[R11]])-1&lt;=Sitze_Ausschuss,"SITZ","PATT"),"")</f>
        <v/>
      </c>
      <c r="EG17" s="54" t="str">
        <f>IF(TabDH[[#This Row],[R12]]&lt;=Sitze_Ausschuss,IF(TabDH[[#This Row],[R12]]+COUNTIF(TabDH[[R1]:[R19]],TabDH[[#This Row],[R12]])-1&lt;=Sitze_Ausschuss,"SITZ","PATT"),"")</f>
        <v/>
      </c>
      <c r="EH17" s="54" t="str">
        <f>IF(TabDH[[#This Row],[R13]]&lt;=Sitze_Ausschuss,IF(TabDH[[#This Row],[R13]]+COUNTIF(TabDH[[R1]:[R19]],TabDH[[#This Row],[R13]])-1&lt;=Sitze_Ausschuss,"SITZ","PATT"),"")</f>
        <v/>
      </c>
      <c r="EI17" s="54" t="str">
        <f>IF(TabDH[[#This Row],[R14]]&lt;=Sitze_Ausschuss,IF(TabDH[[#This Row],[R14]]+COUNTIF(TabDH[[R1]:[R19]],TabDH[[#This Row],[R14]])-1&lt;=Sitze_Ausschuss,"SITZ","PATT"),"")</f>
        <v/>
      </c>
      <c r="EJ17" s="54" t="str">
        <f>IF(TabDH[[#This Row],[R15]]&lt;=Sitze_Ausschuss,IF(TabDH[[#This Row],[R15]]+COUNTIF(TabDH[[R1]:[R19]],TabDH[[#This Row],[R15]])-1&lt;=Sitze_Ausschuss,"SITZ","PATT"),"")</f>
        <v/>
      </c>
      <c r="EK17" s="54" t="str">
        <f>IF(TabDH[[#This Row],[R16]]&lt;=Sitze_Ausschuss,IF(TabDH[[#This Row],[R16]]+COUNTIF(TabDH[[R1]:[R19]],TabDH[[#This Row],[R16]])-1&lt;=Sitze_Ausschuss,"SITZ","PATT"),"")</f>
        <v/>
      </c>
      <c r="EL17" s="54" t="str">
        <f>IF(TabDH[[#This Row],[R17]]&lt;=Sitze_Ausschuss,IF(TabDH[[#This Row],[R17]]+COUNTIF(TabDH[[R1]:[R19]],TabDH[[#This Row],[R17]])-1&lt;=Sitze_Ausschuss,"SITZ","PATT"),"")</f>
        <v/>
      </c>
      <c r="EM17" s="54" t="str">
        <f>IF(TabDH[[#This Row],[R18]]&lt;=Sitze_Ausschuss,IF(TabDH[[#This Row],[R18]]+COUNTIF(TabDH[[R1]:[R19]],TabDH[[#This Row],[R18]])-1&lt;=Sitze_Ausschuss,"SITZ","PATT"),"")</f>
        <v/>
      </c>
      <c r="EN17" s="54" t="str">
        <f>IF(TabDH[[#This Row],[R19]]&lt;=Sitze_Ausschuss,IF(TabDH[[#This Row],[R19]]+COUNTIF(TabDH[[R1]:[R19]],TabDH[[#This Row],[R19]])-1&lt;=Sitze_Ausschuss,"SITZ","PATT"),"")</f>
        <v/>
      </c>
      <c r="EO17" s="56" t="b">
        <f>COUNTIF(TabDH[[#This Row],[SP1]:[SP19]],"PATT")&gt;0</f>
        <v>0</v>
      </c>
      <c r="EP17" s="42">
        <f>IF(TabDH[[#This Row],[Patt]],(Sitze_Ausschuss-SUM(TabDH[Sitze]))/TabDH[[#Totals],[Patt]],0)</f>
        <v>0</v>
      </c>
      <c r="EQ17" s="57">
        <f>TabDH[[#This Row],[Patt]]*IF(Pattaufloesung="Stimmen",TabPatt[[#This Row],[Stimmen]],TabPatt[[#This Row],[Loserfolg]])*1</f>
        <v>0</v>
      </c>
      <c r="ER17" s="58" t="b">
        <f>_xlfn.RANK.EQ(TabDH[[#This Row],[Stimmen/Gelost]],TabDH[Stimmen/Gelost],0)&lt;=(Sitze_Ausschuss-SUM(TabDH[Sitze]))</f>
        <v>1</v>
      </c>
      <c r="ES17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7" s="3"/>
      <c r="EU17" s="60" t="str">
        <f>Grunddaten[[#This Row],[Partei/Wählergruppe]]&amp;""</f>
        <v>Wählergruppe B</v>
      </c>
      <c r="EV17" s="133">
        <v>182</v>
      </c>
      <c r="EW17" s="66" t="b">
        <v>0</v>
      </c>
      <c r="EX17" s="3"/>
      <c r="EY17" s="3"/>
      <c r="EZ17" s="3"/>
      <c r="FA17" s="3"/>
      <c r="FB17" s="3"/>
    </row>
    <row r="18" spans="1:158" ht="15.75" thickBot="1" x14ac:dyDescent="0.3">
      <c r="A18" s="3"/>
      <c r="B18" s="67" t="s">
        <v>173</v>
      </c>
      <c r="C18" s="133">
        <v>0</v>
      </c>
      <c r="D18" s="83">
        <f>Grunddaten[[#This Row],[Sitze im Hauptorgan]]/Grunddaten[[#Totals],[Sitze im Hauptorgan]]*Sitze_Ausschuss</f>
        <v>0</v>
      </c>
      <c r="E18" s="33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</v>
      </c>
      <c r="F18" s="61" t="str">
        <f>"OK"</f>
        <v>OK</v>
      </c>
      <c r="G18" s="62" t="str">
        <f>IF(TabSLS[[#This Row],[QK verletzt]],"NOK","OK")</f>
        <v>OK</v>
      </c>
      <c r="H18" s="63" t="str">
        <f>IF(TabDH[[#This Row],[QK verletzt]],"NOK","OK")</f>
        <v>OK</v>
      </c>
      <c r="I18" s="3"/>
      <c r="J18" s="37">
        <f>TabHN[[#This Row],[S ganz]]+IF(NOT(TabHN[[#This Row],[Patt]]),TabHN[[#This Row],[Restsitz]],0)</f>
        <v>0</v>
      </c>
      <c r="K18" s="38">
        <f>IF(TabHN[[#This Row],[Patt]],IF(Pattaufloesung="Los-Chance",TabHN[[#This Row],[Los Chance]],TabHN[[#This Row],[Pattgewinn]]+0),0)</f>
        <v>0</v>
      </c>
      <c r="L18" s="121">
        <f>INT(Grunddaten[[#This Row],[Proporzgenaue Zahl Ausschuss]])</f>
        <v>0</v>
      </c>
      <c r="M18" s="122">
        <f>ROUND(Grunddaten[[#This Row],[Proporzgenaue Zahl Ausschuss]]-TabHN[[#This Row],[S ganz]],4)</f>
        <v>0</v>
      </c>
      <c r="N18" s="123">
        <f>_xlfn.RANK.EQ(TabHN[[#This Row],[S Rest]],TabHN[S Rest],0)</f>
        <v>10</v>
      </c>
      <c r="O18" s="124">
        <f>IF(TabHN[[#This Row],[Rng Rest]]&lt;=TabHN[[#Totals],[S Rest]],1,0)</f>
        <v>0</v>
      </c>
      <c r="P18" s="124" t="b">
        <f>AND(TabHN[[#This Row],[Restsitz]]=1,(COUNTIF(TabHN[Rng Rest],TabHN[[#This Row],[Rng Rest]])+TabHN[[#This Row],[Rng Rest]]-1)&gt;TabHN[[#Totals],[S Rest]])</f>
        <v>0</v>
      </c>
      <c r="Q18" s="125">
        <f>IF(TabHN[[#This Row],[Patt]],(Sitze_Ausschuss-SUM(TabHN[Sitze]))/TabHN[[#Totals],[Patt]],0)</f>
        <v>0</v>
      </c>
      <c r="R18" s="126">
        <f>TabHN[[#This Row],[Patt]]*IF(Pattaufloesung="Stimmen",TabPatt[[#This Row],[Stimmen]],TabPatt[[#This Row],[Loserfolg]])*1</f>
        <v>0</v>
      </c>
      <c r="S18" s="63" t="b">
        <f>_xlfn.RANK.EQ(TabHN[[#This Row],[Stimmen/Gelost]],TabHN[Stimmen/Gelost],0)&lt;=(Sitze_Ausschuss-SUM(TabHN[Sitze]))</f>
        <v>1</v>
      </c>
      <c r="T18" s="3"/>
      <c r="U18" s="45">
        <f>COUNTIF(TabSLS[[#This Row],[SP1]:[SP37]],"SITZ")</f>
        <v>0</v>
      </c>
      <c r="V18" s="46">
        <f>IF(TabSLS[[#This Row],[Patt?]],IF(Pattaufloesung="Los-Chance",TabSLS[[#This Row],[Los Chance]],TabSLS[[#This Row],[Pattgewinn]]+0),0)</f>
        <v>0</v>
      </c>
      <c r="W18" s="47">
        <f>Grunddaten[[#This Row],[Sitze im Hauptorgan]]/_xlfn.NUMBERVALUE(MID(INDEX(TabSLS[[#Headers],[:1]:[:37]],COLUMN()-COLUMN(TabSLS[[#Headers],[:1]])+1),2,3))</f>
        <v>0</v>
      </c>
      <c r="X18" s="48">
        <f>Grunddaten[[#This Row],[Sitze im Hauptorgan]]/_xlfn.NUMBERVALUE(MID(INDEX(TabSLS[[#Headers],[:1]:[:37]],COLUMN()-COLUMN(TabSLS[[#Headers],[:1]])+1),2,3))</f>
        <v>0</v>
      </c>
      <c r="Y18" s="48">
        <f>Grunddaten[[#This Row],[Sitze im Hauptorgan]]/_xlfn.NUMBERVALUE(MID(INDEX(TabSLS[[#Headers],[:1]:[:37]],COLUMN()-COLUMN(TabSLS[[#Headers],[:1]])+1),2,3))</f>
        <v>0</v>
      </c>
      <c r="Z18" s="48">
        <f>Grunddaten[[#This Row],[Sitze im Hauptorgan]]/_xlfn.NUMBERVALUE(MID(INDEX(TabSLS[[#Headers],[:1]:[:37]],COLUMN()-COLUMN(TabSLS[[#Headers],[:1]])+1),2,3))</f>
        <v>0</v>
      </c>
      <c r="AA18" s="48">
        <f>Grunddaten[[#This Row],[Sitze im Hauptorgan]]/_xlfn.NUMBERVALUE(MID(INDEX(TabSLS[[#Headers],[:1]:[:37]],COLUMN()-COLUMN(TabSLS[[#Headers],[:1]])+1),2,3))</f>
        <v>0</v>
      </c>
      <c r="AB18" s="48">
        <f>Grunddaten[[#This Row],[Sitze im Hauptorgan]]/_xlfn.NUMBERVALUE(MID(INDEX(TabSLS[[#Headers],[:1]:[:37]],COLUMN()-COLUMN(TabSLS[[#Headers],[:1]])+1),2,3))</f>
        <v>0</v>
      </c>
      <c r="AC18" s="48">
        <f>Grunddaten[[#This Row],[Sitze im Hauptorgan]]/_xlfn.NUMBERVALUE(MID(INDEX(TabSLS[[#Headers],[:1]:[:37]],COLUMN()-COLUMN(TabSLS[[#Headers],[:1]])+1),2,3))</f>
        <v>0</v>
      </c>
      <c r="AD18" s="48">
        <f>Grunddaten[[#This Row],[Sitze im Hauptorgan]]/_xlfn.NUMBERVALUE(MID(INDEX(TabSLS[[#Headers],[:1]:[:37]],COLUMN()-COLUMN(TabSLS[[#Headers],[:1]])+1),2,3))</f>
        <v>0</v>
      </c>
      <c r="AE18" s="48">
        <f>Grunddaten[[#This Row],[Sitze im Hauptorgan]]/_xlfn.NUMBERVALUE(MID(INDEX(TabSLS[[#Headers],[:1]:[:37]],COLUMN()-COLUMN(TabSLS[[#Headers],[:1]])+1),2,3))</f>
        <v>0</v>
      </c>
      <c r="AF18" s="48">
        <f>Grunddaten[[#This Row],[Sitze im Hauptorgan]]/_xlfn.NUMBERVALUE(MID(INDEX(TabSLS[[#Headers],[:1]:[:37]],COLUMN()-COLUMN(TabSLS[[#Headers],[:1]])+1),2,3))</f>
        <v>0</v>
      </c>
      <c r="AG18" s="48">
        <f>Grunddaten[[#This Row],[Sitze im Hauptorgan]]/_xlfn.NUMBERVALUE(MID(INDEX(TabSLS[[#Headers],[:1]:[:37]],COLUMN()-COLUMN(TabSLS[[#Headers],[:1]])+1),2,3))</f>
        <v>0</v>
      </c>
      <c r="AH18" s="48">
        <f>Grunddaten[[#This Row],[Sitze im Hauptorgan]]/_xlfn.NUMBERVALUE(MID(INDEX(TabSLS[[#Headers],[:1]:[:37]],COLUMN()-COLUMN(TabSLS[[#Headers],[:1]])+1),2,3))</f>
        <v>0</v>
      </c>
      <c r="AI18" s="48">
        <f>Grunddaten[[#This Row],[Sitze im Hauptorgan]]/_xlfn.NUMBERVALUE(MID(INDEX(TabSLS[[#Headers],[:1]:[:37]],COLUMN()-COLUMN(TabSLS[[#Headers],[:1]])+1),2,3))</f>
        <v>0</v>
      </c>
      <c r="AJ18" s="48">
        <f>Grunddaten[[#This Row],[Sitze im Hauptorgan]]/_xlfn.NUMBERVALUE(MID(INDEX(TabSLS[[#Headers],[:1]:[:37]],COLUMN()-COLUMN(TabSLS[[#Headers],[:1]])+1),2,3))</f>
        <v>0</v>
      </c>
      <c r="AK18" s="48">
        <f>Grunddaten[[#This Row],[Sitze im Hauptorgan]]/_xlfn.NUMBERVALUE(MID(INDEX(TabSLS[[#Headers],[:1]:[:37]],COLUMN()-COLUMN(TabSLS[[#Headers],[:1]])+1),2,3))</f>
        <v>0</v>
      </c>
      <c r="AL18" s="48">
        <f>Grunddaten[[#This Row],[Sitze im Hauptorgan]]/_xlfn.NUMBERVALUE(MID(INDEX(TabSLS[[#Headers],[:1]:[:37]],COLUMN()-COLUMN(TabSLS[[#Headers],[:1]])+1),2,3))</f>
        <v>0</v>
      </c>
      <c r="AM18" s="48">
        <f>Grunddaten[[#This Row],[Sitze im Hauptorgan]]/_xlfn.NUMBERVALUE(MID(INDEX(TabSLS[[#Headers],[:1]:[:37]],COLUMN()-COLUMN(TabSLS[[#Headers],[:1]])+1),2,3))</f>
        <v>0</v>
      </c>
      <c r="AN18" s="48">
        <f>Grunddaten[[#This Row],[Sitze im Hauptorgan]]/_xlfn.NUMBERVALUE(MID(INDEX(TabSLS[[#Headers],[:1]:[:37]],COLUMN()-COLUMN(TabSLS[[#Headers],[:1]])+1),2,3))</f>
        <v>0</v>
      </c>
      <c r="AO18" s="49">
        <f>Grunddaten[[#This Row],[Sitze im Hauptorgan]]/_xlfn.NUMBERVALUE(MID(INDEX(TabSLS[[#Headers],[:1]:[:37]],COLUMN()-COLUMN(TabSLS[[#Headers],[:1]])+1),2,3))</f>
        <v>0</v>
      </c>
      <c r="AP18" s="50">
        <f>_xlfn.RANK.EQ(TabSLS[[#This Row],[:1]],TabSLS[[:1]:[:37]],0)</f>
        <v>172</v>
      </c>
      <c r="AQ18" s="51">
        <f>_xlfn.RANK.EQ(TabSLS[[#This Row],[:3]],TabSLS[[:1]:[:37]],0)</f>
        <v>172</v>
      </c>
      <c r="AR18" s="51">
        <f>_xlfn.RANK.EQ(TabSLS[[#This Row],[:5]],TabSLS[[:1]:[:37]],0)</f>
        <v>172</v>
      </c>
      <c r="AS18" s="51">
        <f>_xlfn.RANK.EQ(TabSLS[[#This Row],[:7]],TabSLS[[:1]:[:37]],0)</f>
        <v>172</v>
      </c>
      <c r="AT18" s="51">
        <f>_xlfn.RANK.EQ(TabSLS[[#This Row],[:9]],TabSLS[[:1]:[:37]],0)</f>
        <v>172</v>
      </c>
      <c r="AU18" s="51">
        <f>_xlfn.RANK.EQ(TabSLS[[#This Row],[:11]],TabSLS[[:1]:[:37]],0)</f>
        <v>172</v>
      </c>
      <c r="AV18" s="51">
        <f>_xlfn.RANK.EQ(TabSLS[[#This Row],[:13]],TabSLS[[:1]:[:37]],0)</f>
        <v>172</v>
      </c>
      <c r="AW18" s="51">
        <f>_xlfn.RANK.EQ(TabSLS[[#This Row],[:15]],TabSLS[[:1]:[:37]],0)</f>
        <v>172</v>
      </c>
      <c r="AX18" s="51">
        <f>_xlfn.RANK.EQ(TabSLS[[#This Row],[:17]],TabSLS[[:1]:[:37]],0)</f>
        <v>172</v>
      </c>
      <c r="AY18" s="51">
        <f>_xlfn.RANK.EQ(TabSLS[[#This Row],[:19]],TabSLS[[:1]:[:37]],0)</f>
        <v>172</v>
      </c>
      <c r="AZ18" s="51">
        <f>_xlfn.RANK.EQ(TabSLS[[#This Row],[:21]],TabSLS[[:1]:[:37]],0)</f>
        <v>172</v>
      </c>
      <c r="BA18" s="51">
        <f>_xlfn.RANK.EQ(TabSLS[[#This Row],[:23]],TabSLS[[:1]:[:37]],0)</f>
        <v>172</v>
      </c>
      <c r="BB18" s="51">
        <f>_xlfn.RANK.EQ(TabSLS[[#This Row],[:25]],TabSLS[[:1]:[:37]],0)</f>
        <v>172</v>
      </c>
      <c r="BC18" s="51">
        <f>_xlfn.RANK.EQ(TabSLS[[#This Row],[:27]],TabSLS[[:1]:[:37]],0)</f>
        <v>172</v>
      </c>
      <c r="BD18" s="51">
        <f>_xlfn.RANK.EQ(TabSLS[[#This Row],[:29]],TabSLS[[:1]:[:37]],0)</f>
        <v>172</v>
      </c>
      <c r="BE18" s="51">
        <f>_xlfn.RANK.EQ(TabSLS[[#This Row],[:31]],TabSLS[[:1]:[:37]],0)</f>
        <v>172</v>
      </c>
      <c r="BF18" s="51">
        <f>_xlfn.RANK.EQ(TabSLS[[#This Row],[:33]],TabSLS[[:1]:[:37]],0)</f>
        <v>172</v>
      </c>
      <c r="BG18" s="51">
        <f>_xlfn.RANK.EQ(TabSLS[[#This Row],[:35]],TabSLS[[:1]:[:37]],0)</f>
        <v>172</v>
      </c>
      <c r="BH18" s="52">
        <f>_xlfn.RANK.EQ(TabSLS[[#This Row],[:37]],TabSLS[[:1]:[:37]],0)</f>
        <v>172</v>
      </c>
      <c r="BI18" s="53" t="str">
        <f>IF(TabSLS[[#This Row],[R1]]&lt;=Sitze_Ausschuss,IF(TabSLS[[#This Row],[R1]]+COUNTIF(TabSLS[[R1]:[R37]],TabSLS[[#This Row],[R1]])-1&lt;=Sitze_Ausschuss,"SITZ","PATT"),"")</f>
        <v/>
      </c>
      <c r="BJ18" s="54" t="str">
        <f>IF(TabSLS[[#This Row],[R3]]&lt;=Sitze_Ausschuss,IF(TabSLS[[#This Row],[R3]]+COUNTIF(TabSLS[[R1]:[R37]],TabSLS[[#This Row],[R3]])-1&lt;=Sitze_Ausschuss,"SITZ","PATT"),"")</f>
        <v/>
      </c>
      <c r="BK18" s="54" t="str">
        <f>IF(TabSLS[[#This Row],[R5]]&lt;=Sitze_Ausschuss,IF(TabSLS[[#This Row],[R5]]+COUNTIF(TabSLS[[R1]:[R37]],TabSLS[[#This Row],[R5]])-1&lt;=Sitze_Ausschuss,"SITZ","PATT"),"")</f>
        <v/>
      </c>
      <c r="BL18" s="54" t="str">
        <f>IF(TabSLS[[#This Row],[R7]]&lt;=Sitze_Ausschuss,IF(TabSLS[[#This Row],[R7]]+COUNTIF(TabSLS[[R1]:[R37]],TabSLS[[#This Row],[R7]])-1&lt;=Sitze_Ausschuss,"SITZ","PATT"),"")</f>
        <v/>
      </c>
      <c r="BM18" s="54" t="str">
        <f>IF(TabSLS[[#This Row],[R9]]&lt;=Sitze_Ausschuss,IF(TabSLS[[#This Row],[R9]]+COUNTIF(TabSLS[[R1]:[R37]],TabSLS[[#This Row],[R9]])-1&lt;=Sitze_Ausschuss,"SITZ","PATT"),"")</f>
        <v/>
      </c>
      <c r="BN18" s="54" t="str">
        <f>IF(TabSLS[[#This Row],[R11]]&lt;=Sitze_Ausschuss,IF(TabSLS[[#This Row],[R11]]+COUNTIF(TabSLS[[R1]:[R37]],TabSLS[[#This Row],[R11]])-1&lt;=Sitze_Ausschuss,"SITZ","PATT"),"")</f>
        <v/>
      </c>
      <c r="BO18" s="54" t="str">
        <f>IF(TabSLS[[#This Row],[R13]]&lt;=Sitze_Ausschuss,IF(TabSLS[[#This Row],[R13]]+COUNTIF(TabSLS[[R1]:[R37]],TabSLS[[#This Row],[R13]])-1&lt;=Sitze_Ausschuss,"SITZ","PATT"),"")</f>
        <v/>
      </c>
      <c r="BP18" s="54" t="str">
        <f>IF(TabSLS[[#This Row],[R15]]&lt;=Sitze_Ausschuss,IF(TabSLS[[#This Row],[R15]]+COUNTIF(TabSLS[[R1]:[R37]],TabSLS[[#This Row],[R15]])-1&lt;=Sitze_Ausschuss,"SITZ","PATT"),"")</f>
        <v/>
      </c>
      <c r="BQ18" s="54" t="str">
        <f>IF(TabSLS[[#This Row],[R17]]&lt;=Sitze_Ausschuss,IF(TabSLS[[#This Row],[R17]]+COUNTIF(TabSLS[[R1]:[R37]],TabSLS[[#This Row],[R17]])-1&lt;=Sitze_Ausschuss,"SITZ","PATT"),"")</f>
        <v/>
      </c>
      <c r="BR18" s="54" t="str">
        <f>IF(TabSLS[[#This Row],[R19]]&lt;=Sitze_Ausschuss,IF(TabSLS[[#This Row],[R19]]+COUNTIF(TabSLS[[R1]:[R37]],TabSLS[[#This Row],[R19]])-1&lt;=Sitze_Ausschuss,"SITZ","PATT"),"")</f>
        <v/>
      </c>
      <c r="BS18" s="54" t="str">
        <f>IF(TabSLS[[#This Row],[R21]]&lt;=Sitze_Ausschuss,IF(TabSLS[[#This Row],[R21]]+COUNTIF(TabSLS[[R1]:[R37]],TabSLS[[#This Row],[R21]])-1&lt;=Sitze_Ausschuss,"SITZ","PATT"),"")</f>
        <v/>
      </c>
      <c r="BT18" s="54" t="str">
        <f>IF(TabSLS[[#This Row],[R23]]&lt;=Sitze_Ausschuss,IF(TabSLS[[#This Row],[R23]]+COUNTIF(TabSLS[[R1]:[R37]],TabSLS[[#This Row],[R23]])-1&lt;=Sitze_Ausschuss,"SITZ","PATT"),"")</f>
        <v/>
      </c>
      <c r="BU18" s="54" t="str">
        <f>IF(TabSLS[[#This Row],[R25]]&lt;=Sitze_Ausschuss,IF(TabSLS[[#This Row],[R25]]+COUNTIF(TabSLS[[R1]:[R37]],TabSLS[[#This Row],[R25]])-1&lt;=Sitze_Ausschuss,"SITZ","PATT"),"")</f>
        <v/>
      </c>
      <c r="BV18" s="54" t="str">
        <f>IF(TabSLS[[#This Row],[R27]]&lt;=Sitze_Ausschuss,IF(TabSLS[[#This Row],[R27]]+COUNTIF(TabSLS[[R1]:[R37]],TabSLS[[#This Row],[R27]])-1&lt;=Sitze_Ausschuss,"SITZ","PATT"),"")</f>
        <v/>
      </c>
      <c r="BW18" s="54" t="str">
        <f>IF(TabSLS[[#This Row],[R29]]&lt;=Sitze_Ausschuss,IF(TabSLS[[#This Row],[R29]]+COUNTIF(TabSLS[[R1]:[R37]],TabSLS[[#This Row],[R29]])-1&lt;=Sitze_Ausschuss,"SITZ","PATT"),"")</f>
        <v/>
      </c>
      <c r="BX18" s="54" t="str">
        <f>IF(TabSLS[[#This Row],[R31]]&lt;=Sitze_Ausschuss,IF(TabSLS[[#This Row],[R31]]+COUNTIF(TabSLS[[R1]:[R37]],TabSLS[[#This Row],[R31]])-1&lt;=Sitze_Ausschuss,"SITZ","PATT"),"")</f>
        <v/>
      </c>
      <c r="BY18" s="54" t="str">
        <f>IF(TabSLS[[#This Row],[R33]]&lt;=Sitze_Ausschuss,IF(TabSLS[[#This Row],[R33]]+COUNTIF(TabSLS[[R1]:[R37]],TabSLS[[#This Row],[R33]])-1&lt;=Sitze_Ausschuss,"SITZ","PATT"),"")</f>
        <v/>
      </c>
      <c r="BZ18" s="54" t="str">
        <f>IF(TabSLS[[#This Row],[R35]]&lt;=Sitze_Ausschuss,IF(TabSLS[[#This Row],[R35]]+COUNTIF(TabSLS[[R1]:[R37]],TabSLS[[#This Row],[R35]])-1&lt;=Sitze_Ausschuss,"SITZ","PATT"),"")</f>
        <v/>
      </c>
      <c r="CA18" s="55" t="str">
        <f>IF(TabSLS[[#This Row],[R37]]&lt;=Sitze_Ausschuss,IF(TabSLS[[#This Row],[R37]]+COUNTIF(TabSLS[[R1]:[R37]],TabSLS[[#This Row],[R37]])-1&lt;=Sitze_Ausschuss,"SITZ","PATT"),"")</f>
        <v/>
      </c>
      <c r="CB18" s="56" t="b">
        <f>COUNTIF(TabSLS[[#This Row],[SP1]:[SP37]],"PATT")&gt;0</f>
        <v>0</v>
      </c>
      <c r="CC18" s="42">
        <f>IF(TabSLS[[#This Row],[Patt?]],(Sitze_Ausschuss-SUM(TabSLS[Sitze]))/TabSLS[[#Totals],[Patt?]],0)</f>
        <v>0</v>
      </c>
      <c r="CD18" s="57">
        <f>TabSLS[[#This Row],[Patt?]]*IF(Pattaufloesung="Stimmen",TabPatt[[#This Row],[Stimmen]],TabPatt[[#This Row],[Loserfolg]])*1</f>
        <v>0</v>
      </c>
      <c r="CE18" s="58" t="b">
        <f>_xlfn.RANK.EQ(TabSLS[[#This Row],[Stimmen Gelost]],TabSLS[Stimmen Gelost],0)&lt;=(Sitze_Ausschuss-SUM(TabSLS[Sitze]))</f>
        <v>1</v>
      </c>
      <c r="CF18" s="120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8" s="3"/>
      <c r="CH18" s="45">
        <f>COUNTIF(TabDH[[#This Row],[SP1]:[SP19]],"SITZ")</f>
        <v>0</v>
      </c>
      <c r="CI18" s="46">
        <f>IF(TabDH[[#This Row],[Patt]],IF(Pattaufloesung="Los-Chance",TabDH[[#This Row],[Los Chance]],TabDH[[#This Row],[Pattgewinn]]+0),0)</f>
        <v>0</v>
      </c>
      <c r="CJ18" s="47">
        <f>Grunddaten[[#This Row],[Sitze im Hauptorgan]]/_xlfn.NUMBERVALUE(MID(INDEX(TabDH[[#Headers],[:1]:[:19]],COLUMN()-COLUMN(TabDH[[#Headers],[:1]])+1),2,3))</f>
        <v>0</v>
      </c>
      <c r="CK18" s="48">
        <f>Grunddaten[[#This Row],[Sitze im Hauptorgan]]/_xlfn.NUMBERVALUE(MID(INDEX(TabDH[[#Headers],[:1]:[:19]],COLUMN()-COLUMN(TabDH[[#Headers],[:1]])+1),2,3))</f>
        <v>0</v>
      </c>
      <c r="CL18" s="48">
        <f>Grunddaten[[#This Row],[Sitze im Hauptorgan]]/_xlfn.NUMBERVALUE(MID(INDEX(TabDH[[#Headers],[:1]:[:19]],COLUMN()-COLUMN(TabDH[[#Headers],[:1]])+1),2,3))</f>
        <v>0</v>
      </c>
      <c r="CM18" s="48">
        <f>Grunddaten[[#This Row],[Sitze im Hauptorgan]]/_xlfn.NUMBERVALUE(MID(INDEX(TabDH[[#Headers],[:1]:[:19]],COLUMN()-COLUMN(TabDH[[#Headers],[:1]])+1),2,3))</f>
        <v>0</v>
      </c>
      <c r="CN18" s="48">
        <f>Grunddaten[[#This Row],[Sitze im Hauptorgan]]/_xlfn.NUMBERVALUE(MID(INDEX(TabDH[[#Headers],[:1]:[:19]],COLUMN()-COLUMN(TabDH[[#Headers],[:1]])+1),2,3))</f>
        <v>0</v>
      </c>
      <c r="CO18" s="48">
        <f>Grunddaten[[#This Row],[Sitze im Hauptorgan]]/_xlfn.NUMBERVALUE(MID(INDEX(TabDH[[#Headers],[:1]:[:19]],COLUMN()-COLUMN(TabDH[[#Headers],[:1]])+1),2,3))</f>
        <v>0</v>
      </c>
      <c r="CP18" s="48">
        <f>Grunddaten[[#This Row],[Sitze im Hauptorgan]]/_xlfn.NUMBERVALUE(MID(INDEX(TabDH[[#Headers],[:1]:[:19]],COLUMN()-COLUMN(TabDH[[#Headers],[:1]])+1),2,3))</f>
        <v>0</v>
      </c>
      <c r="CQ18" s="48">
        <f>Grunddaten[[#This Row],[Sitze im Hauptorgan]]/_xlfn.NUMBERVALUE(MID(INDEX(TabDH[[#Headers],[:1]:[:19]],COLUMN()-COLUMN(TabDH[[#Headers],[:1]])+1),2,3))</f>
        <v>0</v>
      </c>
      <c r="CR18" s="48">
        <f>Grunddaten[[#This Row],[Sitze im Hauptorgan]]/_xlfn.NUMBERVALUE(MID(INDEX(TabDH[[#Headers],[:1]:[:19]],COLUMN()-COLUMN(TabDH[[#Headers],[:1]])+1),2,3))</f>
        <v>0</v>
      </c>
      <c r="CS18" s="48">
        <f>Grunddaten[[#This Row],[Sitze im Hauptorgan]]/_xlfn.NUMBERVALUE(MID(INDEX(TabDH[[#Headers],[:1]:[:19]],COLUMN()-COLUMN(TabDH[[#Headers],[:1]])+1),2,3))</f>
        <v>0</v>
      </c>
      <c r="CT18" s="48">
        <f>Grunddaten[[#This Row],[Sitze im Hauptorgan]]/_xlfn.NUMBERVALUE(MID(INDEX(TabDH[[#Headers],[:1]:[:19]],COLUMN()-COLUMN(TabDH[[#Headers],[:1]])+1),2,3))</f>
        <v>0</v>
      </c>
      <c r="CU18" s="48">
        <f>Grunddaten[[#This Row],[Sitze im Hauptorgan]]/_xlfn.NUMBERVALUE(MID(INDEX(TabDH[[#Headers],[:1]:[:19]],COLUMN()-COLUMN(TabDH[[#Headers],[:1]])+1),2,3))</f>
        <v>0</v>
      </c>
      <c r="CV18" s="48">
        <f>Grunddaten[[#This Row],[Sitze im Hauptorgan]]/_xlfn.NUMBERVALUE(MID(INDEX(TabDH[[#Headers],[:1]:[:19]],COLUMN()-COLUMN(TabDH[[#Headers],[:1]])+1),2,3))</f>
        <v>0</v>
      </c>
      <c r="CW18" s="48">
        <f>Grunddaten[[#This Row],[Sitze im Hauptorgan]]/_xlfn.NUMBERVALUE(MID(INDEX(TabDH[[#Headers],[:1]:[:19]],COLUMN()-COLUMN(TabDH[[#Headers],[:1]])+1),2,3))</f>
        <v>0</v>
      </c>
      <c r="CX18" s="48">
        <f>Grunddaten[[#This Row],[Sitze im Hauptorgan]]/_xlfn.NUMBERVALUE(MID(INDEX(TabDH[[#Headers],[:1]:[:19]],COLUMN()-COLUMN(TabDH[[#Headers],[:1]])+1),2,3))</f>
        <v>0</v>
      </c>
      <c r="CY18" s="48">
        <f>Grunddaten[[#This Row],[Sitze im Hauptorgan]]/_xlfn.NUMBERVALUE(MID(INDEX(TabDH[[#Headers],[:1]:[:19]],COLUMN()-COLUMN(TabDH[[#Headers],[:1]])+1),2,3))</f>
        <v>0</v>
      </c>
      <c r="CZ18" s="48">
        <f>Grunddaten[[#This Row],[Sitze im Hauptorgan]]/_xlfn.NUMBERVALUE(MID(INDEX(TabDH[[#Headers],[:1]:[:19]],COLUMN()-COLUMN(TabDH[[#Headers],[:1]])+1),2,3))</f>
        <v>0</v>
      </c>
      <c r="DA18" s="48">
        <f>Grunddaten[[#This Row],[Sitze im Hauptorgan]]/_xlfn.NUMBERVALUE(MID(INDEX(TabDH[[#Headers],[:1]:[:19]],COLUMN()-COLUMN(TabDH[[#Headers],[:1]])+1),2,3))</f>
        <v>0</v>
      </c>
      <c r="DB18" s="49">
        <f>Grunddaten[[#This Row],[Sitze im Hauptorgan]]/_xlfn.NUMBERVALUE(MID(INDEX(TabDH[[#Headers],[:1]:[:19]],COLUMN()-COLUMN(TabDH[[#Headers],[:1]])+1),2,3))</f>
        <v>0</v>
      </c>
      <c r="DC18" s="50">
        <f>_xlfn.RANK.EQ(TabDH[[#This Row],[:1]],TabDH[[:1]:[:19]],0)</f>
        <v>172</v>
      </c>
      <c r="DD18" s="51">
        <f>_xlfn.RANK.EQ(TabDH[[#This Row],[:2]],TabDH[[:1]:[:19]],0)</f>
        <v>172</v>
      </c>
      <c r="DE18" s="51">
        <f>_xlfn.RANK.EQ(TabDH[[#This Row],[:3]],TabDH[[:1]:[:19]],0)</f>
        <v>172</v>
      </c>
      <c r="DF18" s="51">
        <f>_xlfn.RANK.EQ(TabDH[[#This Row],[:4]],TabDH[[:1]:[:19]],0)</f>
        <v>172</v>
      </c>
      <c r="DG18" s="51">
        <f>_xlfn.RANK.EQ(TabDH[[#This Row],[:5]],TabDH[[:1]:[:19]],0)</f>
        <v>172</v>
      </c>
      <c r="DH18" s="51">
        <f>_xlfn.RANK.EQ(TabDH[[#This Row],[:6]],TabDH[[:1]:[:19]],0)</f>
        <v>172</v>
      </c>
      <c r="DI18" s="51">
        <f>_xlfn.RANK.EQ(TabDH[[#This Row],[:7]],TabDH[[:1]:[:19]],0)</f>
        <v>172</v>
      </c>
      <c r="DJ18" s="51">
        <f>_xlfn.RANK.EQ(TabDH[[#This Row],[:8]],TabDH[[:1]:[:19]],0)</f>
        <v>172</v>
      </c>
      <c r="DK18" s="51">
        <f>_xlfn.RANK.EQ(TabDH[[#This Row],[:9]],TabDH[[:1]:[:19]],0)</f>
        <v>172</v>
      </c>
      <c r="DL18" s="51">
        <f>_xlfn.RANK.EQ(TabDH[[#This Row],[:10]],TabDH[[:1]:[:19]],0)</f>
        <v>172</v>
      </c>
      <c r="DM18" s="51">
        <f>_xlfn.RANK.EQ(TabDH[[#This Row],[:11]],TabDH[[:1]:[:19]],0)</f>
        <v>172</v>
      </c>
      <c r="DN18" s="51">
        <f>_xlfn.RANK.EQ(TabDH[[#This Row],[:12]],TabDH[[:1]:[:19]],0)</f>
        <v>172</v>
      </c>
      <c r="DO18" s="51">
        <f>_xlfn.RANK.EQ(TabDH[[#This Row],[:13]],TabDH[[:1]:[:19]],0)</f>
        <v>172</v>
      </c>
      <c r="DP18" s="51">
        <f>_xlfn.RANK.EQ(TabDH[[#This Row],[:14]],TabDH[[:1]:[:19]],0)</f>
        <v>172</v>
      </c>
      <c r="DQ18" s="51">
        <f>_xlfn.RANK.EQ(TabDH[[#This Row],[:15]],TabDH[[:1]:[:19]],0)</f>
        <v>172</v>
      </c>
      <c r="DR18" s="51">
        <f>_xlfn.RANK.EQ(TabDH[[#This Row],[:16]],TabDH[[:1]:[:19]],0)</f>
        <v>172</v>
      </c>
      <c r="DS18" s="51">
        <f>_xlfn.RANK.EQ(TabDH[[#This Row],[:17]],TabDH[[:1]:[:19]],0)</f>
        <v>172</v>
      </c>
      <c r="DT18" s="51">
        <f>_xlfn.RANK.EQ(TabDH[[#This Row],[:18]],TabDH[[:1]:[:19]],0)</f>
        <v>172</v>
      </c>
      <c r="DU18" s="52">
        <f>_xlfn.RANK.EQ(TabDH[[#This Row],[:19]],TabDH[[:1]:[:19]],0)</f>
        <v>172</v>
      </c>
      <c r="DV18" s="53" t="str">
        <f>IF(TabDH[[#This Row],[R1]]&lt;=Sitze_Ausschuss,IF(TabDH[[#This Row],[R1]]+COUNTIF(TabDH[[R1]:[R19]],TabDH[[#This Row],[R1]])-1&lt;=Sitze_Ausschuss,"SITZ","PATT"),"")</f>
        <v/>
      </c>
      <c r="DW18" s="54" t="str">
        <f>IF(TabDH[[#This Row],[R2]]&lt;=Sitze_Ausschuss,IF(TabDH[[#This Row],[R2]]+COUNTIF(TabDH[[R1]:[R19]],TabDH[[#This Row],[R2]])-1&lt;=Sitze_Ausschuss,"SITZ","PATT"),"")</f>
        <v/>
      </c>
      <c r="DX18" s="54" t="str">
        <f>IF(TabDH[[#This Row],[R3]]&lt;=Sitze_Ausschuss,IF(TabDH[[#This Row],[R3]]+COUNTIF(TabDH[[R1]:[R19]],TabDH[[#This Row],[R3]])-1&lt;=Sitze_Ausschuss,"SITZ","PATT"),"")</f>
        <v/>
      </c>
      <c r="DY18" s="54" t="str">
        <f>IF(TabDH[[#This Row],[R4]]&lt;=Sitze_Ausschuss,IF(TabDH[[#This Row],[R4]]+COUNTIF(TabDH[[R1]:[R19]],TabDH[[#This Row],[R4]])-1&lt;=Sitze_Ausschuss,"SITZ","PATT"),"")</f>
        <v/>
      </c>
      <c r="DZ18" s="54" t="str">
        <f>IF(TabDH[[#This Row],[R5]]&lt;=Sitze_Ausschuss,IF(TabDH[[#This Row],[R5]]+COUNTIF(TabDH[[R1]:[R19]],TabDH[[#This Row],[R5]])-1&lt;=Sitze_Ausschuss,"SITZ","PATT"),"")</f>
        <v/>
      </c>
      <c r="EA18" s="54" t="str">
        <f>IF(TabDH[[#This Row],[R6]]&lt;=Sitze_Ausschuss,IF(TabDH[[#This Row],[R6]]+COUNTIF(TabDH[[R1]:[R19]],TabDH[[#This Row],[R6]])-1&lt;=Sitze_Ausschuss,"SITZ","PATT"),"")</f>
        <v/>
      </c>
      <c r="EB18" s="54" t="str">
        <f>IF(TabDH[[#This Row],[R7]]&lt;=Sitze_Ausschuss,IF(TabDH[[#This Row],[R7]]+COUNTIF(TabDH[[R1]:[R19]],TabDH[[#This Row],[R7]])-1&lt;=Sitze_Ausschuss,"SITZ","PATT"),"")</f>
        <v/>
      </c>
      <c r="EC18" s="54" t="str">
        <f>IF(TabDH[[#This Row],[R8]]&lt;=Sitze_Ausschuss,IF(TabDH[[#This Row],[R8]]+COUNTIF(TabDH[[R1]:[R19]],TabDH[[#This Row],[R8]])-1&lt;=Sitze_Ausschuss,"SITZ","PATT"),"")</f>
        <v/>
      </c>
      <c r="ED18" s="54" t="str">
        <f>IF(TabDH[[#This Row],[R9]]&lt;=Sitze_Ausschuss,IF(TabDH[[#This Row],[R9]]+COUNTIF(TabDH[[R1]:[R19]],TabDH[[#This Row],[R9]])-1&lt;=Sitze_Ausschuss,"SITZ","PATT"),"")</f>
        <v/>
      </c>
      <c r="EE18" s="54" t="str">
        <f>IF(TabDH[[#This Row],[R10]]&lt;=Sitze_Ausschuss,IF(TabDH[[#This Row],[R10]]+COUNTIF(TabDH[[R1]:[R19]],TabDH[[#This Row],[R10]])-1&lt;=Sitze_Ausschuss,"SITZ","PATT"),"")</f>
        <v/>
      </c>
      <c r="EF18" s="54" t="str">
        <f>IF(TabDH[[#This Row],[R11]]&lt;=Sitze_Ausschuss,IF(TabDH[[#This Row],[R11]]+COUNTIF(TabDH[[R1]:[R19]],TabDH[[#This Row],[R11]])-1&lt;=Sitze_Ausschuss,"SITZ","PATT"),"")</f>
        <v/>
      </c>
      <c r="EG18" s="54" t="str">
        <f>IF(TabDH[[#This Row],[R12]]&lt;=Sitze_Ausschuss,IF(TabDH[[#This Row],[R12]]+COUNTIF(TabDH[[R1]:[R19]],TabDH[[#This Row],[R12]])-1&lt;=Sitze_Ausschuss,"SITZ","PATT"),"")</f>
        <v/>
      </c>
      <c r="EH18" s="54" t="str">
        <f>IF(TabDH[[#This Row],[R13]]&lt;=Sitze_Ausschuss,IF(TabDH[[#This Row],[R13]]+COUNTIF(TabDH[[R1]:[R19]],TabDH[[#This Row],[R13]])-1&lt;=Sitze_Ausschuss,"SITZ","PATT"),"")</f>
        <v/>
      </c>
      <c r="EI18" s="54" t="str">
        <f>IF(TabDH[[#This Row],[R14]]&lt;=Sitze_Ausschuss,IF(TabDH[[#This Row],[R14]]+COUNTIF(TabDH[[R1]:[R19]],TabDH[[#This Row],[R14]])-1&lt;=Sitze_Ausschuss,"SITZ","PATT"),"")</f>
        <v/>
      </c>
      <c r="EJ18" s="54" t="str">
        <f>IF(TabDH[[#This Row],[R15]]&lt;=Sitze_Ausschuss,IF(TabDH[[#This Row],[R15]]+COUNTIF(TabDH[[R1]:[R19]],TabDH[[#This Row],[R15]])-1&lt;=Sitze_Ausschuss,"SITZ","PATT"),"")</f>
        <v/>
      </c>
      <c r="EK18" s="54" t="str">
        <f>IF(TabDH[[#This Row],[R16]]&lt;=Sitze_Ausschuss,IF(TabDH[[#This Row],[R16]]+COUNTIF(TabDH[[R1]:[R19]],TabDH[[#This Row],[R16]])-1&lt;=Sitze_Ausschuss,"SITZ","PATT"),"")</f>
        <v/>
      </c>
      <c r="EL18" s="54" t="str">
        <f>IF(TabDH[[#This Row],[R17]]&lt;=Sitze_Ausschuss,IF(TabDH[[#This Row],[R17]]+COUNTIF(TabDH[[R1]:[R19]],TabDH[[#This Row],[R17]])-1&lt;=Sitze_Ausschuss,"SITZ","PATT"),"")</f>
        <v/>
      </c>
      <c r="EM18" s="54" t="str">
        <f>IF(TabDH[[#This Row],[R18]]&lt;=Sitze_Ausschuss,IF(TabDH[[#This Row],[R18]]+COUNTIF(TabDH[[R1]:[R19]],TabDH[[#This Row],[R18]])-1&lt;=Sitze_Ausschuss,"SITZ","PATT"),"")</f>
        <v/>
      </c>
      <c r="EN18" s="54" t="str">
        <f>IF(TabDH[[#This Row],[R19]]&lt;=Sitze_Ausschuss,IF(TabDH[[#This Row],[R19]]+COUNTIF(TabDH[[R1]:[R19]],TabDH[[#This Row],[R19]])-1&lt;=Sitze_Ausschuss,"SITZ","PATT"),"")</f>
        <v/>
      </c>
      <c r="EO18" s="56" t="b">
        <f>COUNTIF(TabDH[[#This Row],[SP1]:[SP19]],"PATT")&gt;0</f>
        <v>0</v>
      </c>
      <c r="EP18" s="42">
        <f>IF(TabDH[[#This Row],[Patt]],(Sitze_Ausschuss-SUM(TabDH[Sitze]))/TabDH[[#Totals],[Patt]],0)</f>
        <v>0</v>
      </c>
      <c r="EQ18" s="57">
        <f>TabDH[[#This Row],[Patt]]*IF(Pattaufloesung="Stimmen",TabPatt[[#This Row],[Stimmen]],TabPatt[[#This Row],[Loserfolg]])*1</f>
        <v>0</v>
      </c>
      <c r="ER18" s="58" t="b">
        <f>_xlfn.RANK.EQ(TabDH[[#This Row],[Stimmen/Gelost]],TabDH[Stimmen/Gelost],0)&lt;=(Sitze_Ausschuss-SUM(TabDH[Sitze]))</f>
        <v>1</v>
      </c>
      <c r="ES18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8" s="3"/>
      <c r="EU18" s="60" t="str">
        <f>Grunddaten[[#This Row],[Partei/Wählergruppe]]&amp;""</f>
        <v>Wählergruppe C</v>
      </c>
      <c r="EV18" s="133">
        <v>312</v>
      </c>
      <c r="EW18" s="66" t="b">
        <v>0</v>
      </c>
      <c r="EX18" s="3"/>
      <c r="EY18" s="3"/>
      <c r="EZ18" s="3"/>
      <c r="FA18" s="3"/>
      <c r="FB18" s="3"/>
    </row>
    <row r="19" spans="1:158" ht="15.75" thickBot="1" x14ac:dyDescent="0.3">
      <c r="A19" s="3"/>
      <c r="B19" s="67" t="s">
        <v>174</v>
      </c>
      <c r="C19" s="133">
        <v>0</v>
      </c>
      <c r="D19" s="83">
        <f>Grunddaten[[#This Row],[Sitze im Hauptorgan]]/Grunddaten[[#Totals],[Sitze im Hauptorgan]]*Sitze_Ausschuss</f>
        <v>0</v>
      </c>
      <c r="E19" s="33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</v>
      </c>
      <c r="F19" s="61" t="str">
        <f>"OK"</f>
        <v>OK</v>
      </c>
      <c r="G19" s="62" t="str">
        <f>IF(TabSLS[[#This Row],[QK verletzt]],"NOK","OK")</f>
        <v>OK</v>
      </c>
      <c r="H19" s="63" t="str">
        <f>IF(TabDH[[#This Row],[QK verletzt]],"NOK","OK")</f>
        <v>OK</v>
      </c>
      <c r="I19" s="3"/>
      <c r="J19" s="37">
        <f>TabHN[[#This Row],[S ganz]]+IF(NOT(TabHN[[#This Row],[Patt]]),TabHN[[#This Row],[Restsitz]],0)</f>
        <v>0</v>
      </c>
      <c r="K19" s="38">
        <f>IF(TabHN[[#This Row],[Patt]],IF(Pattaufloesung="Los-Chance",TabHN[[#This Row],[Los Chance]],TabHN[[#This Row],[Pattgewinn]]+0),0)</f>
        <v>0</v>
      </c>
      <c r="L19" s="121">
        <f>INT(Grunddaten[[#This Row],[Proporzgenaue Zahl Ausschuss]])</f>
        <v>0</v>
      </c>
      <c r="M19" s="122">
        <f>ROUND(Grunddaten[[#This Row],[Proporzgenaue Zahl Ausschuss]]-TabHN[[#This Row],[S ganz]],4)</f>
        <v>0</v>
      </c>
      <c r="N19" s="123">
        <f>_xlfn.RANK.EQ(TabHN[[#This Row],[S Rest]],TabHN[S Rest],0)</f>
        <v>10</v>
      </c>
      <c r="O19" s="124">
        <f>IF(TabHN[[#This Row],[Rng Rest]]&lt;=TabHN[[#Totals],[S Rest]],1,0)</f>
        <v>0</v>
      </c>
      <c r="P19" s="124" t="b">
        <f>AND(TabHN[[#This Row],[Restsitz]]=1,(COUNTIF(TabHN[Rng Rest],TabHN[[#This Row],[Rng Rest]])+TabHN[[#This Row],[Rng Rest]]-1)&gt;TabHN[[#Totals],[S Rest]])</f>
        <v>0</v>
      </c>
      <c r="Q19" s="125">
        <f>IF(TabHN[[#This Row],[Patt]],(Sitze_Ausschuss-SUM(TabHN[Sitze]))/TabHN[[#Totals],[Patt]],0)</f>
        <v>0</v>
      </c>
      <c r="R19" s="126">
        <f>TabHN[[#This Row],[Patt]]*IF(Pattaufloesung="Stimmen",TabPatt[[#This Row],[Stimmen]],TabPatt[[#This Row],[Loserfolg]])*1</f>
        <v>0</v>
      </c>
      <c r="S19" s="63" t="b">
        <f>_xlfn.RANK.EQ(TabHN[[#This Row],[Stimmen/Gelost]],TabHN[Stimmen/Gelost],0)&lt;=(Sitze_Ausschuss-SUM(TabHN[Sitze]))</f>
        <v>1</v>
      </c>
      <c r="T19" s="3"/>
      <c r="U19" s="45">
        <f>COUNTIF(TabSLS[[#This Row],[SP1]:[SP37]],"SITZ")</f>
        <v>0</v>
      </c>
      <c r="V19" s="46">
        <f>IF(TabSLS[[#This Row],[Patt?]],IF(Pattaufloesung="Los-Chance",TabSLS[[#This Row],[Los Chance]],TabSLS[[#This Row],[Pattgewinn]]+0),0)</f>
        <v>0</v>
      </c>
      <c r="W19" s="47">
        <f>Grunddaten[[#This Row],[Sitze im Hauptorgan]]/_xlfn.NUMBERVALUE(MID(INDEX(TabSLS[[#Headers],[:1]:[:37]],COLUMN()-COLUMN(TabSLS[[#Headers],[:1]])+1),2,3))</f>
        <v>0</v>
      </c>
      <c r="X19" s="48">
        <f>Grunddaten[[#This Row],[Sitze im Hauptorgan]]/_xlfn.NUMBERVALUE(MID(INDEX(TabSLS[[#Headers],[:1]:[:37]],COLUMN()-COLUMN(TabSLS[[#Headers],[:1]])+1),2,3))</f>
        <v>0</v>
      </c>
      <c r="Y19" s="48">
        <f>Grunddaten[[#This Row],[Sitze im Hauptorgan]]/_xlfn.NUMBERVALUE(MID(INDEX(TabSLS[[#Headers],[:1]:[:37]],COLUMN()-COLUMN(TabSLS[[#Headers],[:1]])+1),2,3))</f>
        <v>0</v>
      </c>
      <c r="Z19" s="48">
        <f>Grunddaten[[#This Row],[Sitze im Hauptorgan]]/_xlfn.NUMBERVALUE(MID(INDEX(TabSLS[[#Headers],[:1]:[:37]],COLUMN()-COLUMN(TabSLS[[#Headers],[:1]])+1),2,3))</f>
        <v>0</v>
      </c>
      <c r="AA19" s="48">
        <f>Grunddaten[[#This Row],[Sitze im Hauptorgan]]/_xlfn.NUMBERVALUE(MID(INDEX(TabSLS[[#Headers],[:1]:[:37]],COLUMN()-COLUMN(TabSLS[[#Headers],[:1]])+1),2,3))</f>
        <v>0</v>
      </c>
      <c r="AB19" s="48">
        <f>Grunddaten[[#This Row],[Sitze im Hauptorgan]]/_xlfn.NUMBERVALUE(MID(INDEX(TabSLS[[#Headers],[:1]:[:37]],COLUMN()-COLUMN(TabSLS[[#Headers],[:1]])+1),2,3))</f>
        <v>0</v>
      </c>
      <c r="AC19" s="48">
        <f>Grunddaten[[#This Row],[Sitze im Hauptorgan]]/_xlfn.NUMBERVALUE(MID(INDEX(TabSLS[[#Headers],[:1]:[:37]],COLUMN()-COLUMN(TabSLS[[#Headers],[:1]])+1),2,3))</f>
        <v>0</v>
      </c>
      <c r="AD19" s="48">
        <f>Grunddaten[[#This Row],[Sitze im Hauptorgan]]/_xlfn.NUMBERVALUE(MID(INDEX(TabSLS[[#Headers],[:1]:[:37]],COLUMN()-COLUMN(TabSLS[[#Headers],[:1]])+1),2,3))</f>
        <v>0</v>
      </c>
      <c r="AE19" s="48">
        <f>Grunddaten[[#This Row],[Sitze im Hauptorgan]]/_xlfn.NUMBERVALUE(MID(INDEX(TabSLS[[#Headers],[:1]:[:37]],COLUMN()-COLUMN(TabSLS[[#Headers],[:1]])+1),2,3))</f>
        <v>0</v>
      </c>
      <c r="AF19" s="48">
        <f>Grunddaten[[#This Row],[Sitze im Hauptorgan]]/_xlfn.NUMBERVALUE(MID(INDEX(TabSLS[[#Headers],[:1]:[:37]],COLUMN()-COLUMN(TabSLS[[#Headers],[:1]])+1),2,3))</f>
        <v>0</v>
      </c>
      <c r="AG19" s="48">
        <f>Grunddaten[[#This Row],[Sitze im Hauptorgan]]/_xlfn.NUMBERVALUE(MID(INDEX(TabSLS[[#Headers],[:1]:[:37]],COLUMN()-COLUMN(TabSLS[[#Headers],[:1]])+1),2,3))</f>
        <v>0</v>
      </c>
      <c r="AH19" s="48">
        <f>Grunddaten[[#This Row],[Sitze im Hauptorgan]]/_xlfn.NUMBERVALUE(MID(INDEX(TabSLS[[#Headers],[:1]:[:37]],COLUMN()-COLUMN(TabSLS[[#Headers],[:1]])+1),2,3))</f>
        <v>0</v>
      </c>
      <c r="AI19" s="48">
        <f>Grunddaten[[#This Row],[Sitze im Hauptorgan]]/_xlfn.NUMBERVALUE(MID(INDEX(TabSLS[[#Headers],[:1]:[:37]],COLUMN()-COLUMN(TabSLS[[#Headers],[:1]])+1),2,3))</f>
        <v>0</v>
      </c>
      <c r="AJ19" s="48">
        <f>Grunddaten[[#This Row],[Sitze im Hauptorgan]]/_xlfn.NUMBERVALUE(MID(INDEX(TabSLS[[#Headers],[:1]:[:37]],COLUMN()-COLUMN(TabSLS[[#Headers],[:1]])+1),2,3))</f>
        <v>0</v>
      </c>
      <c r="AK19" s="48">
        <f>Grunddaten[[#This Row],[Sitze im Hauptorgan]]/_xlfn.NUMBERVALUE(MID(INDEX(TabSLS[[#Headers],[:1]:[:37]],COLUMN()-COLUMN(TabSLS[[#Headers],[:1]])+1),2,3))</f>
        <v>0</v>
      </c>
      <c r="AL19" s="48">
        <f>Grunddaten[[#This Row],[Sitze im Hauptorgan]]/_xlfn.NUMBERVALUE(MID(INDEX(TabSLS[[#Headers],[:1]:[:37]],COLUMN()-COLUMN(TabSLS[[#Headers],[:1]])+1),2,3))</f>
        <v>0</v>
      </c>
      <c r="AM19" s="48">
        <f>Grunddaten[[#This Row],[Sitze im Hauptorgan]]/_xlfn.NUMBERVALUE(MID(INDEX(TabSLS[[#Headers],[:1]:[:37]],COLUMN()-COLUMN(TabSLS[[#Headers],[:1]])+1),2,3))</f>
        <v>0</v>
      </c>
      <c r="AN19" s="48">
        <f>Grunddaten[[#This Row],[Sitze im Hauptorgan]]/_xlfn.NUMBERVALUE(MID(INDEX(TabSLS[[#Headers],[:1]:[:37]],COLUMN()-COLUMN(TabSLS[[#Headers],[:1]])+1),2,3))</f>
        <v>0</v>
      </c>
      <c r="AO19" s="49">
        <f>Grunddaten[[#This Row],[Sitze im Hauptorgan]]/_xlfn.NUMBERVALUE(MID(INDEX(TabSLS[[#Headers],[:1]:[:37]],COLUMN()-COLUMN(TabSLS[[#Headers],[:1]])+1),2,3))</f>
        <v>0</v>
      </c>
      <c r="AP19" s="50">
        <f>_xlfn.RANK.EQ(TabSLS[[#This Row],[:1]],TabSLS[[:1]:[:37]],0)</f>
        <v>172</v>
      </c>
      <c r="AQ19" s="51">
        <f>_xlfn.RANK.EQ(TabSLS[[#This Row],[:3]],TabSLS[[:1]:[:37]],0)</f>
        <v>172</v>
      </c>
      <c r="AR19" s="51">
        <f>_xlfn.RANK.EQ(TabSLS[[#This Row],[:5]],TabSLS[[:1]:[:37]],0)</f>
        <v>172</v>
      </c>
      <c r="AS19" s="51">
        <f>_xlfn.RANK.EQ(TabSLS[[#This Row],[:7]],TabSLS[[:1]:[:37]],0)</f>
        <v>172</v>
      </c>
      <c r="AT19" s="51">
        <f>_xlfn.RANK.EQ(TabSLS[[#This Row],[:9]],TabSLS[[:1]:[:37]],0)</f>
        <v>172</v>
      </c>
      <c r="AU19" s="51">
        <f>_xlfn.RANK.EQ(TabSLS[[#This Row],[:11]],TabSLS[[:1]:[:37]],0)</f>
        <v>172</v>
      </c>
      <c r="AV19" s="51">
        <f>_xlfn.RANK.EQ(TabSLS[[#This Row],[:13]],TabSLS[[:1]:[:37]],0)</f>
        <v>172</v>
      </c>
      <c r="AW19" s="51">
        <f>_xlfn.RANK.EQ(TabSLS[[#This Row],[:15]],TabSLS[[:1]:[:37]],0)</f>
        <v>172</v>
      </c>
      <c r="AX19" s="51">
        <f>_xlfn.RANK.EQ(TabSLS[[#This Row],[:17]],TabSLS[[:1]:[:37]],0)</f>
        <v>172</v>
      </c>
      <c r="AY19" s="51">
        <f>_xlfn.RANK.EQ(TabSLS[[#This Row],[:19]],TabSLS[[:1]:[:37]],0)</f>
        <v>172</v>
      </c>
      <c r="AZ19" s="51">
        <f>_xlfn.RANK.EQ(TabSLS[[#This Row],[:21]],TabSLS[[:1]:[:37]],0)</f>
        <v>172</v>
      </c>
      <c r="BA19" s="51">
        <f>_xlfn.RANK.EQ(TabSLS[[#This Row],[:23]],TabSLS[[:1]:[:37]],0)</f>
        <v>172</v>
      </c>
      <c r="BB19" s="51">
        <f>_xlfn.RANK.EQ(TabSLS[[#This Row],[:25]],TabSLS[[:1]:[:37]],0)</f>
        <v>172</v>
      </c>
      <c r="BC19" s="51">
        <f>_xlfn.RANK.EQ(TabSLS[[#This Row],[:27]],TabSLS[[:1]:[:37]],0)</f>
        <v>172</v>
      </c>
      <c r="BD19" s="51">
        <f>_xlfn.RANK.EQ(TabSLS[[#This Row],[:29]],TabSLS[[:1]:[:37]],0)</f>
        <v>172</v>
      </c>
      <c r="BE19" s="51">
        <f>_xlfn.RANK.EQ(TabSLS[[#This Row],[:31]],TabSLS[[:1]:[:37]],0)</f>
        <v>172</v>
      </c>
      <c r="BF19" s="51">
        <f>_xlfn.RANK.EQ(TabSLS[[#This Row],[:33]],TabSLS[[:1]:[:37]],0)</f>
        <v>172</v>
      </c>
      <c r="BG19" s="51">
        <f>_xlfn.RANK.EQ(TabSLS[[#This Row],[:35]],TabSLS[[:1]:[:37]],0)</f>
        <v>172</v>
      </c>
      <c r="BH19" s="52">
        <f>_xlfn.RANK.EQ(TabSLS[[#This Row],[:37]],TabSLS[[:1]:[:37]],0)</f>
        <v>172</v>
      </c>
      <c r="BI19" s="53" t="str">
        <f>IF(TabSLS[[#This Row],[R1]]&lt;=Sitze_Ausschuss,IF(TabSLS[[#This Row],[R1]]+COUNTIF(TabSLS[[R1]:[R37]],TabSLS[[#This Row],[R1]])-1&lt;=Sitze_Ausschuss,"SITZ","PATT"),"")</f>
        <v/>
      </c>
      <c r="BJ19" s="54" t="str">
        <f>IF(TabSLS[[#This Row],[R3]]&lt;=Sitze_Ausschuss,IF(TabSLS[[#This Row],[R3]]+COUNTIF(TabSLS[[R1]:[R37]],TabSLS[[#This Row],[R3]])-1&lt;=Sitze_Ausschuss,"SITZ","PATT"),"")</f>
        <v/>
      </c>
      <c r="BK19" s="54" t="str">
        <f>IF(TabSLS[[#This Row],[R5]]&lt;=Sitze_Ausschuss,IF(TabSLS[[#This Row],[R5]]+COUNTIF(TabSLS[[R1]:[R37]],TabSLS[[#This Row],[R5]])-1&lt;=Sitze_Ausschuss,"SITZ","PATT"),"")</f>
        <v/>
      </c>
      <c r="BL19" s="54" t="str">
        <f>IF(TabSLS[[#This Row],[R7]]&lt;=Sitze_Ausschuss,IF(TabSLS[[#This Row],[R7]]+COUNTIF(TabSLS[[R1]:[R37]],TabSLS[[#This Row],[R7]])-1&lt;=Sitze_Ausschuss,"SITZ","PATT"),"")</f>
        <v/>
      </c>
      <c r="BM19" s="54" t="str">
        <f>IF(TabSLS[[#This Row],[R9]]&lt;=Sitze_Ausschuss,IF(TabSLS[[#This Row],[R9]]+COUNTIF(TabSLS[[R1]:[R37]],TabSLS[[#This Row],[R9]])-1&lt;=Sitze_Ausschuss,"SITZ","PATT"),"")</f>
        <v/>
      </c>
      <c r="BN19" s="54" t="str">
        <f>IF(TabSLS[[#This Row],[R11]]&lt;=Sitze_Ausschuss,IF(TabSLS[[#This Row],[R11]]+COUNTIF(TabSLS[[R1]:[R37]],TabSLS[[#This Row],[R11]])-1&lt;=Sitze_Ausschuss,"SITZ","PATT"),"")</f>
        <v/>
      </c>
      <c r="BO19" s="54" t="str">
        <f>IF(TabSLS[[#This Row],[R13]]&lt;=Sitze_Ausschuss,IF(TabSLS[[#This Row],[R13]]+COUNTIF(TabSLS[[R1]:[R37]],TabSLS[[#This Row],[R13]])-1&lt;=Sitze_Ausschuss,"SITZ","PATT"),"")</f>
        <v/>
      </c>
      <c r="BP19" s="54" t="str">
        <f>IF(TabSLS[[#This Row],[R15]]&lt;=Sitze_Ausschuss,IF(TabSLS[[#This Row],[R15]]+COUNTIF(TabSLS[[R1]:[R37]],TabSLS[[#This Row],[R15]])-1&lt;=Sitze_Ausschuss,"SITZ","PATT"),"")</f>
        <v/>
      </c>
      <c r="BQ19" s="54" t="str">
        <f>IF(TabSLS[[#This Row],[R17]]&lt;=Sitze_Ausschuss,IF(TabSLS[[#This Row],[R17]]+COUNTIF(TabSLS[[R1]:[R37]],TabSLS[[#This Row],[R17]])-1&lt;=Sitze_Ausschuss,"SITZ","PATT"),"")</f>
        <v/>
      </c>
      <c r="BR19" s="54" t="str">
        <f>IF(TabSLS[[#This Row],[R19]]&lt;=Sitze_Ausschuss,IF(TabSLS[[#This Row],[R19]]+COUNTIF(TabSLS[[R1]:[R37]],TabSLS[[#This Row],[R19]])-1&lt;=Sitze_Ausschuss,"SITZ","PATT"),"")</f>
        <v/>
      </c>
      <c r="BS19" s="54" t="str">
        <f>IF(TabSLS[[#This Row],[R21]]&lt;=Sitze_Ausschuss,IF(TabSLS[[#This Row],[R21]]+COUNTIF(TabSLS[[R1]:[R37]],TabSLS[[#This Row],[R21]])-1&lt;=Sitze_Ausschuss,"SITZ","PATT"),"")</f>
        <v/>
      </c>
      <c r="BT19" s="54" t="str">
        <f>IF(TabSLS[[#This Row],[R23]]&lt;=Sitze_Ausschuss,IF(TabSLS[[#This Row],[R23]]+COUNTIF(TabSLS[[R1]:[R37]],TabSLS[[#This Row],[R23]])-1&lt;=Sitze_Ausschuss,"SITZ","PATT"),"")</f>
        <v/>
      </c>
      <c r="BU19" s="54" t="str">
        <f>IF(TabSLS[[#This Row],[R25]]&lt;=Sitze_Ausschuss,IF(TabSLS[[#This Row],[R25]]+COUNTIF(TabSLS[[R1]:[R37]],TabSLS[[#This Row],[R25]])-1&lt;=Sitze_Ausschuss,"SITZ","PATT"),"")</f>
        <v/>
      </c>
      <c r="BV19" s="54" t="str">
        <f>IF(TabSLS[[#This Row],[R27]]&lt;=Sitze_Ausschuss,IF(TabSLS[[#This Row],[R27]]+COUNTIF(TabSLS[[R1]:[R37]],TabSLS[[#This Row],[R27]])-1&lt;=Sitze_Ausschuss,"SITZ","PATT"),"")</f>
        <v/>
      </c>
      <c r="BW19" s="54" t="str">
        <f>IF(TabSLS[[#This Row],[R29]]&lt;=Sitze_Ausschuss,IF(TabSLS[[#This Row],[R29]]+COUNTIF(TabSLS[[R1]:[R37]],TabSLS[[#This Row],[R29]])-1&lt;=Sitze_Ausschuss,"SITZ","PATT"),"")</f>
        <v/>
      </c>
      <c r="BX19" s="54" t="str">
        <f>IF(TabSLS[[#This Row],[R31]]&lt;=Sitze_Ausschuss,IF(TabSLS[[#This Row],[R31]]+COUNTIF(TabSLS[[R1]:[R37]],TabSLS[[#This Row],[R31]])-1&lt;=Sitze_Ausschuss,"SITZ","PATT"),"")</f>
        <v/>
      </c>
      <c r="BY19" s="54" t="str">
        <f>IF(TabSLS[[#This Row],[R33]]&lt;=Sitze_Ausschuss,IF(TabSLS[[#This Row],[R33]]+COUNTIF(TabSLS[[R1]:[R37]],TabSLS[[#This Row],[R33]])-1&lt;=Sitze_Ausschuss,"SITZ","PATT"),"")</f>
        <v/>
      </c>
      <c r="BZ19" s="54" t="str">
        <f>IF(TabSLS[[#This Row],[R35]]&lt;=Sitze_Ausschuss,IF(TabSLS[[#This Row],[R35]]+COUNTIF(TabSLS[[R1]:[R37]],TabSLS[[#This Row],[R35]])-1&lt;=Sitze_Ausschuss,"SITZ","PATT"),"")</f>
        <v/>
      </c>
      <c r="CA19" s="55" t="str">
        <f>IF(TabSLS[[#This Row],[R37]]&lt;=Sitze_Ausschuss,IF(TabSLS[[#This Row],[R37]]+COUNTIF(TabSLS[[R1]:[R37]],TabSLS[[#This Row],[R37]])-1&lt;=Sitze_Ausschuss,"SITZ","PATT"),"")</f>
        <v/>
      </c>
      <c r="CB19" s="56" t="b">
        <f>COUNTIF(TabSLS[[#This Row],[SP1]:[SP37]],"PATT")&gt;0</f>
        <v>0</v>
      </c>
      <c r="CC19" s="42">
        <f>IF(TabSLS[[#This Row],[Patt?]],(Sitze_Ausschuss-SUM(TabSLS[Sitze]))/TabSLS[[#Totals],[Patt?]],0)</f>
        <v>0</v>
      </c>
      <c r="CD19" s="57">
        <f>TabSLS[[#This Row],[Patt?]]*IF(Pattaufloesung="Stimmen",TabPatt[[#This Row],[Stimmen]],TabPatt[[#This Row],[Loserfolg]])*1</f>
        <v>0</v>
      </c>
      <c r="CE19" s="58" t="b">
        <f>_xlfn.RANK.EQ(TabSLS[[#This Row],[Stimmen Gelost]],TabSLS[Stimmen Gelost],0)&lt;=(Sitze_Ausschuss-SUM(TabSLS[Sitze]))</f>
        <v>1</v>
      </c>
      <c r="CF19" s="120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19" s="3"/>
      <c r="CH19" s="45">
        <f>COUNTIF(TabDH[[#This Row],[SP1]:[SP19]],"SITZ")</f>
        <v>0</v>
      </c>
      <c r="CI19" s="46">
        <f>IF(TabDH[[#This Row],[Patt]],IF(Pattaufloesung="Los-Chance",TabDH[[#This Row],[Los Chance]],TabDH[[#This Row],[Pattgewinn]]+0),0)</f>
        <v>0</v>
      </c>
      <c r="CJ19" s="47">
        <f>Grunddaten[[#This Row],[Sitze im Hauptorgan]]/_xlfn.NUMBERVALUE(MID(INDEX(TabDH[[#Headers],[:1]:[:19]],COLUMN()-COLUMN(TabDH[[#Headers],[:1]])+1),2,3))</f>
        <v>0</v>
      </c>
      <c r="CK19" s="48">
        <f>Grunddaten[[#This Row],[Sitze im Hauptorgan]]/_xlfn.NUMBERVALUE(MID(INDEX(TabDH[[#Headers],[:1]:[:19]],COLUMN()-COLUMN(TabDH[[#Headers],[:1]])+1),2,3))</f>
        <v>0</v>
      </c>
      <c r="CL19" s="48">
        <f>Grunddaten[[#This Row],[Sitze im Hauptorgan]]/_xlfn.NUMBERVALUE(MID(INDEX(TabDH[[#Headers],[:1]:[:19]],COLUMN()-COLUMN(TabDH[[#Headers],[:1]])+1),2,3))</f>
        <v>0</v>
      </c>
      <c r="CM19" s="48">
        <f>Grunddaten[[#This Row],[Sitze im Hauptorgan]]/_xlfn.NUMBERVALUE(MID(INDEX(TabDH[[#Headers],[:1]:[:19]],COLUMN()-COLUMN(TabDH[[#Headers],[:1]])+1),2,3))</f>
        <v>0</v>
      </c>
      <c r="CN19" s="48">
        <f>Grunddaten[[#This Row],[Sitze im Hauptorgan]]/_xlfn.NUMBERVALUE(MID(INDEX(TabDH[[#Headers],[:1]:[:19]],COLUMN()-COLUMN(TabDH[[#Headers],[:1]])+1),2,3))</f>
        <v>0</v>
      </c>
      <c r="CO19" s="48">
        <f>Grunddaten[[#This Row],[Sitze im Hauptorgan]]/_xlfn.NUMBERVALUE(MID(INDEX(TabDH[[#Headers],[:1]:[:19]],COLUMN()-COLUMN(TabDH[[#Headers],[:1]])+1),2,3))</f>
        <v>0</v>
      </c>
      <c r="CP19" s="48">
        <f>Grunddaten[[#This Row],[Sitze im Hauptorgan]]/_xlfn.NUMBERVALUE(MID(INDEX(TabDH[[#Headers],[:1]:[:19]],COLUMN()-COLUMN(TabDH[[#Headers],[:1]])+1),2,3))</f>
        <v>0</v>
      </c>
      <c r="CQ19" s="48">
        <f>Grunddaten[[#This Row],[Sitze im Hauptorgan]]/_xlfn.NUMBERVALUE(MID(INDEX(TabDH[[#Headers],[:1]:[:19]],COLUMN()-COLUMN(TabDH[[#Headers],[:1]])+1),2,3))</f>
        <v>0</v>
      </c>
      <c r="CR19" s="48">
        <f>Grunddaten[[#This Row],[Sitze im Hauptorgan]]/_xlfn.NUMBERVALUE(MID(INDEX(TabDH[[#Headers],[:1]:[:19]],COLUMN()-COLUMN(TabDH[[#Headers],[:1]])+1),2,3))</f>
        <v>0</v>
      </c>
      <c r="CS19" s="48">
        <f>Grunddaten[[#This Row],[Sitze im Hauptorgan]]/_xlfn.NUMBERVALUE(MID(INDEX(TabDH[[#Headers],[:1]:[:19]],COLUMN()-COLUMN(TabDH[[#Headers],[:1]])+1),2,3))</f>
        <v>0</v>
      </c>
      <c r="CT19" s="48">
        <f>Grunddaten[[#This Row],[Sitze im Hauptorgan]]/_xlfn.NUMBERVALUE(MID(INDEX(TabDH[[#Headers],[:1]:[:19]],COLUMN()-COLUMN(TabDH[[#Headers],[:1]])+1),2,3))</f>
        <v>0</v>
      </c>
      <c r="CU19" s="48">
        <f>Grunddaten[[#This Row],[Sitze im Hauptorgan]]/_xlfn.NUMBERVALUE(MID(INDEX(TabDH[[#Headers],[:1]:[:19]],COLUMN()-COLUMN(TabDH[[#Headers],[:1]])+1),2,3))</f>
        <v>0</v>
      </c>
      <c r="CV19" s="48">
        <f>Grunddaten[[#This Row],[Sitze im Hauptorgan]]/_xlfn.NUMBERVALUE(MID(INDEX(TabDH[[#Headers],[:1]:[:19]],COLUMN()-COLUMN(TabDH[[#Headers],[:1]])+1),2,3))</f>
        <v>0</v>
      </c>
      <c r="CW19" s="48">
        <f>Grunddaten[[#This Row],[Sitze im Hauptorgan]]/_xlfn.NUMBERVALUE(MID(INDEX(TabDH[[#Headers],[:1]:[:19]],COLUMN()-COLUMN(TabDH[[#Headers],[:1]])+1),2,3))</f>
        <v>0</v>
      </c>
      <c r="CX19" s="48">
        <f>Grunddaten[[#This Row],[Sitze im Hauptorgan]]/_xlfn.NUMBERVALUE(MID(INDEX(TabDH[[#Headers],[:1]:[:19]],COLUMN()-COLUMN(TabDH[[#Headers],[:1]])+1),2,3))</f>
        <v>0</v>
      </c>
      <c r="CY19" s="48">
        <f>Grunddaten[[#This Row],[Sitze im Hauptorgan]]/_xlfn.NUMBERVALUE(MID(INDEX(TabDH[[#Headers],[:1]:[:19]],COLUMN()-COLUMN(TabDH[[#Headers],[:1]])+1),2,3))</f>
        <v>0</v>
      </c>
      <c r="CZ19" s="48">
        <f>Grunddaten[[#This Row],[Sitze im Hauptorgan]]/_xlfn.NUMBERVALUE(MID(INDEX(TabDH[[#Headers],[:1]:[:19]],COLUMN()-COLUMN(TabDH[[#Headers],[:1]])+1),2,3))</f>
        <v>0</v>
      </c>
      <c r="DA19" s="48">
        <f>Grunddaten[[#This Row],[Sitze im Hauptorgan]]/_xlfn.NUMBERVALUE(MID(INDEX(TabDH[[#Headers],[:1]:[:19]],COLUMN()-COLUMN(TabDH[[#Headers],[:1]])+1),2,3))</f>
        <v>0</v>
      </c>
      <c r="DB19" s="49">
        <f>Grunddaten[[#This Row],[Sitze im Hauptorgan]]/_xlfn.NUMBERVALUE(MID(INDEX(TabDH[[#Headers],[:1]:[:19]],COLUMN()-COLUMN(TabDH[[#Headers],[:1]])+1),2,3))</f>
        <v>0</v>
      </c>
      <c r="DC19" s="50">
        <f>_xlfn.RANK.EQ(TabDH[[#This Row],[:1]],TabDH[[:1]:[:19]],0)</f>
        <v>172</v>
      </c>
      <c r="DD19" s="51">
        <f>_xlfn.RANK.EQ(TabDH[[#This Row],[:2]],TabDH[[:1]:[:19]],0)</f>
        <v>172</v>
      </c>
      <c r="DE19" s="51">
        <f>_xlfn.RANK.EQ(TabDH[[#This Row],[:3]],TabDH[[:1]:[:19]],0)</f>
        <v>172</v>
      </c>
      <c r="DF19" s="51">
        <f>_xlfn.RANK.EQ(TabDH[[#This Row],[:4]],TabDH[[:1]:[:19]],0)</f>
        <v>172</v>
      </c>
      <c r="DG19" s="51">
        <f>_xlfn.RANK.EQ(TabDH[[#This Row],[:5]],TabDH[[:1]:[:19]],0)</f>
        <v>172</v>
      </c>
      <c r="DH19" s="51">
        <f>_xlfn.RANK.EQ(TabDH[[#This Row],[:6]],TabDH[[:1]:[:19]],0)</f>
        <v>172</v>
      </c>
      <c r="DI19" s="51">
        <f>_xlfn.RANK.EQ(TabDH[[#This Row],[:7]],TabDH[[:1]:[:19]],0)</f>
        <v>172</v>
      </c>
      <c r="DJ19" s="51">
        <f>_xlfn.RANK.EQ(TabDH[[#This Row],[:8]],TabDH[[:1]:[:19]],0)</f>
        <v>172</v>
      </c>
      <c r="DK19" s="51">
        <f>_xlfn.RANK.EQ(TabDH[[#This Row],[:9]],TabDH[[:1]:[:19]],0)</f>
        <v>172</v>
      </c>
      <c r="DL19" s="51">
        <f>_xlfn.RANK.EQ(TabDH[[#This Row],[:10]],TabDH[[:1]:[:19]],0)</f>
        <v>172</v>
      </c>
      <c r="DM19" s="51">
        <f>_xlfn.RANK.EQ(TabDH[[#This Row],[:11]],TabDH[[:1]:[:19]],0)</f>
        <v>172</v>
      </c>
      <c r="DN19" s="51">
        <f>_xlfn.RANK.EQ(TabDH[[#This Row],[:12]],TabDH[[:1]:[:19]],0)</f>
        <v>172</v>
      </c>
      <c r="DO19" s="51">
        <f>_xlfn.RANK.EQ(TabDH[[#This Row],[:13]],TabDH[[:1]:[:19]],0)</f>
        <v>172</v>
      </c>
      <c r="DP19" s="51">
        <f>_xlfn.RANK.EQ(TabDH[[#This Row],[:14]],TabDH[[:1]:[:19]],0)</f>
        <v>172</v>
      </c>
      <c r="DQ19" s="51">
        <f>_xlfn.RANK.EQ(TabDH[[#This Row],[:15]],TabDH[[:1]:[:19]],0)</f>
        <v>172</v>
      </c>
      <c r="DR19" s="51">
        <f>_xlfn.RANK.EQ(TabDH[[#This Row],[:16]],TabDH[[:1]:[:19]],0)</f>
        <v>172</v>
      </c>
      <c r="DS19" s="51">
        <f>_xlfn.RANK.EQ(TabDH[[#This Row],[:17]],TabDH[[:1]:[:19]],0)</f>
        <v>172</v>
      </c>
      <c r="DT19" s="51">
        <f>_xlfn.RANK.EQ(TabDH[[#This Row],[:18]],TabDH[[:1]:[:19]],0)</f>
        <v>172</v>
      </c>
      <c r="DU19" s="52">
        <f>_xlfn.RANK.EQ(TabDH[[#This Row],[:19]],TabDH[[:1]:[:19]],0)</f>
        <v>172</v>
      </c>
      <c r="DV19" s="53" t="str">
        <f>IF(TabDH[[#This Row],[R1]]&lt;=Sitze_Ausschuss,IF(TabDH[[#This Row],[R1]]+COUNTIF(TabDH[[R1]:[R19]],TabDH[[#This Row],[R1]])-1&lt;=Sitze_Ausschuss,"SITZ","PATT"),"")</f>
        <v/>
      </c>
      <c r="DW19" s="54" t="str">
        <f>IF(TabDH[[#This Row],[R2]]&lt;=Sitze_Ausschuss,IF(TabDH[[#This Row],[R2]]+COUNTIF(TabDH[[R1]:[R19]],TabDH[[#This Row],[R2]])-1&lt;=Sitze_Ausschuss,"SITZ","PATT"),"")</f>
        <v/>
      </c>
      <c r="DX19" s="54" t="str">
        <f>IF(TabDH[[#This Row],[R3]]&lt;=Sitze_Ausschuss,IF(TabDH[[#This Row],[R3]]+COUNTIF(TabDH[[R1]:[R19]],TabDH[[#This Row],[R3]])-1&lt;=Sitze_Ausschuss,"SITZ","PATT"),"")</f>
        <v/>
      </c>
      <c r="DY19" s="54" t="str">
        <f>IF(TabDH[[#This Row],[R4]]&lt;=Sitze_Ausschuss,IF(TabDH[[#This Row],[R4]]+COUNTIF(TabDH[[R1]:[R19]],TabDH[[#This Row],[R4]])-1&lt;=Sitze_Ausschuss,"SITZ","PATT"),"")</f>
        <v/>
      </c>
      <c r="DZ19" s="54" t="str">
        <f>IF(TabDH[[#This Row],[R5]]&lt;=Sitze_Ausschuss,IF(TabDH[[#This Row],[R5]]+COUNTIF(TabDH[[R1]:[R19]],TabDH[[#This Row],[R5]])-1&lt;=Sitze_Ausschuss,"SITZ","PATT"),"")</f>
        <v/>
      </c>
      <c r="EA19" s="54" t="str">
        <f>IF(TabDH[[#This Row],[R6]]&lt;=Sitze_Ausschuss,IF(TabDH[[#This Row],[R6]]+COUNTIF(TabDH[[R1]:[R19]],TabDH[[#This Row],[R6]])-1&lt;=Sitze_Ausschuss,"SITZ","PATT"),"")</f>
        <v/>
      </c>
      <c r="EB19" s="54" t="str">
        <f>IF(TabDH[[#This Row],[R7]]&lt;=Sitze_Ausschuss,IF(TabDH[[#This Row],[R7]]+COUNTIF(TabDH[[R1]:[R19]],TabDH[[#This Row],[R7]])-1&lt;=Sitze_Ausschuss,"SITZ","PATT"),"")</f>
        <v/>
      </c>
      <c r="EC19" s="54" t="str">
        <f>IF(TabDH[[#This Row],[R8]]&lt;=Sitze_Ausschuss,IF(TabDH[[#This Row],[R8]]+COUNTIF(TabDH[[R1]:[R19]],TabDH[[#This Row],[R8]])-1&lt;=Sitze_Ausschuss,"SITZ","PATT"),"")</f>
        <v/>
      </c>
      <c r="ED19" s="54" t="str">
        <f>IF(TabDH[[#This Row],[R9]]&lt;=Sitze_Ausschuss,IF(TabDH[[#This Row],[R9]]+COUNTIF(TabDH[[R1]:[R19]],TabDH[[#This Row],[R9]])-1&lt;=Sitze_Ausschuss,"SITZ","PATT"),"")</f>
        <v/>
      </c>
      <c r="EE19" s="54" t="str">
        <f>IF(TabDH[[#This Row],[R10]]&lt;=Sitze_Ausschuss,IF(TabDH[[#This Row],[R10]]+COUNTIF(TabDH[[R1]:[R19]],TabDH[[#This Row],[R10]])-1&lt;=Sitze_Ausschuss,"SITZ","PATT"),"")</f>
        <v/>
      </c>
      <c r="EF19" s="54" t="str">
        <f>IF(TabDH[[#This Row],[R11]]&lt;=Sitze_Ausschuss,IF(TabDH[[#This Row],[R11]]+COUNTIF(TabDH[[R1]:[R19]],TabDH[[#This Row],[R11]])-1&lt;=Sitze_Ausschuss,"SITZ","PATT"),"")</f>
        <v/>
      </c>
      <c r="EG19" s="54" t="str">
        <f>IF(TabDH[[#This Row],[R12]]&lt;=Sitze_Ausschuss,IF(TabDH[[#This Row],[R12]]+COUNTIF(TabDH[[R1]:[R19]],TabDH[[#This Row],[R12]])-1&lt;=Sitze_Ausschuss,"SITZ","PATT"),"")</f>
        <v/>
      </c>
      <c r="EH19" s="54" t="str">
        <f>IF(TabDH[[#This Row],[R13]]&lt;=Sitze_Ausschuss,IF(TabDH[[#This Row],[R13]]+COUNTIF(TabDH[[R1]:[R19]],TabDH[[#This Row],[R13]])-1&lt;=Sitze_Ausschuss,"SITZ","PATT"),"")</f>
        <v/>
      </c>
      <c r="EI19" s="54" t="str">
        <f>IF(TabDH[[#This Row],[R14]]&lt;=Sitze_Ausschuss,IF(TabDH[[#This Row],[R14]]+COUNTIF(TabDH[[R1]:[R19]],TabDH[[#This Row],[R14]])-1&lt;=Sitze_Ausschuss,"SITZ","PATT"),"")</f>
        <v/>
      </c>
      <c r="EJ19" s="54" t="str">
        <f>IF(TabDH[[#This Row],[R15]]&lt;=Sitze_Ausschuss,IF(TabDH[[#This Row],[R15]]+COUNTIF(TabDH[[R1]:[R19]],TabDH[[#This Row],[R15]])-1&lt;=Sitze_Ausschuss,"SITZ","PATT"),"")</f>
        <v/>
      </c>
      <c r="EK19" s="54" t="str">
        <f>IF(TabDH[[#This Row],[R16]]&lt;=Sitze_Ausschuss,IF(TabDH[[#This Row],[R16]]+COUNTIF(TabDH[[R1]:[R19]],TabDH[[#This Row],[R16]])-1&lt;=Sitze_Ausschuss,"SITZ","PATT"),"")</f>
        <v/>
      </c>
      <c r="EL19" s="54" t="str">
        <f>IF(TabDH[[#This Row],[R17]]&lt;=Sitze_Ausschuss,IF(TabDH[[#This Row],[R17]]+COUNTIF(TabDH[[R1]:[R19]],TabDH[[#This Row],[R17]])-1&lt;=Sitze_Ausschuss,"SITZ","PATT"),"")</f>
        <v/>
      </c>
      <c r="EM19" s="54" t="str">
        <f>IF(TabDH[[#This Row],[R18]]&lt;=Sitze_Ausschuss,IF(TabDH[[#This Row],[R18]]+COUNTIF(TabDH[[R1]:[R19]],TabDH[[#This Row],[R18]])-1&lt;=Sitze_Ausschuss,"SITZ","PATT"),"")</f>
        <v/>
      </c>
      <c r="EN19" s="54" t="str">
        <f>IF(TabDH[[#This Row],[R19]]&lt;=Sitze_Ausschuss,IF(TabDH[[#This Row],[R19]]+COUNTIF(TabDH[[R1]:[R19]],TabDH[[#This Row],[R19]])-1&lt;=Sitze_Ausschuss,"SITZ","PATT"),"")</f>
        <v/>
      </c>
      <c r="EO19" s="56" t="b">
        <f>COUNTIF(TabDH[[#This Row],[SP1]:[SP19]],"PATT")&gt;0</f>
        <v>0</v>
      </c>
      <c r="EP19" s="42">
        <f>IF(TabDH[[#This Row],[Patt]],(Sitze_Ausschuss-SUM(TabDH[Sitze]))/TabDH[[#Totals],[Patt]],0)</f>
        <v>0</v>
      </c>
      <c r="EQ19" s="57">
        <f>TabDH[[#This Row],[Patt]]*IF(Pattaufloesung="Stimmen",TabPatt[[#This Row],[Stimmen]],TabPatt[[#This Row],[Loserfolg]])*1</f>
        <v>0</v>
      </c>
      <c r="ER19" s="58" t="b">
        <f>_xlfn.RANK.EQ(TabDH[[#This Row],[Stimmen/Gelost]],TabDH[Stimmen/Gelost],0)&lt;=(Sitze_Ausschuss-SUM(TabDH[Sitze]))</f>
        <v>1</v>
      </c>
      <c r="ES19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19" s="3"/>
      <c r="EU19" s="60" t="str">
        <f>Grunddaten[[#This Row],[Partei/Wählergruppe]]&amp;""</f>
        <v>Wählergruppe D</v>
      </c>
      <c r="EV19" s="133">
        <v>512</v>
      </c>
      <c r="EW19" s="66" t="b">
        <v>0</v>
      </c>
      <c r="EX19" s="3"/>
      <c r="EY19" s="3"/>
      <c r="EZ19" s="3"/>
      <c r="FA19" s="3"/>
      <c r="FB19" s="3"/>
    </row>
    <row r="20" spans="1:158" x14ac:dyDescent="0.25">
      <c r="A20" s="3"/>
      <c r="B20" s="84" t="s">
        <v>176</v>
      </c>
      <c r="C20" s="133">
        <v>0</v>
      </c>
      <c r="D20" s="83">
        <f>Grunddaten[[#This Row],[Sitze im Hauptorgan]]/Grunddaten[[#Totals],[Sitze im Hauptorgan]]*Sitze_Ausschuss</f>
        <v>0</v>
      </c>
      <c r="E20" s="33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</v>
      </c>
      <c r="F20" s="61" t="str">
        <f t="shared" si="0"/>
        <v>OK</v>
      </c>
      <c r="G20" s="62" t="str">
        <f>IF(TabSLS[[#This Row],[QK verletzt]],"NOK","OK")</f>
        <v>OK</v>
      </c>
      <c r="H20" s="63" t="str">
        <f>IF(TabDH[[#This Row],[QK verletzt]],"NOK","OK")</f>
        <v>OK</v>
      </c>
      <c r="I20" s="68"/>
      <c r="J20" s="37">
        <f>TabHN[[#This Row],[S ganz]]+IF(NOT(TabHN[[#This Row],[Patt]]),TabHN[[#This Row],[Restsitz]],0)</f>
        <v>0</v>
      </c>
      <c r="K20" s="38">
        <f>IF(TabHN[[#This Row],[Patt]],IF(Pattaufloesung="Los-Chance",TabHN[[#This Row],[Los Chance]],TabHN[[#This Row],[Pattgewinn]]+0),0)</f>
        <v>0</v>
      </c>
      <c r="L20" s="39">
        <f>INT(Grunddaten[[#This Row],[Proporzgenaue Zahl Ausschuss]])</f>
        <v>0</v>
      </c>
      <c r="M20" s="40">
        <f>ROUND(Grunddaten[[#This Row],[Proporzgenaue Zahl Ausschuss]]-TabHN[[#This Row],[S ganz]],4)</f>
        <v>0</v>
      </c>
      <c r="N20" s="41">
        <f>_xlfn.RANK.EQ(TabHN[[#This Row],[S Rest]],TabHN[S Rest],0)</f>
        <v>10</v>
      </c>
      <c r="O20" s="39">
        <f>IF(TabHN[[#This Row],[Rng Rest]]&lt;=TabHN[[#Totals],[S Rest]],1,0)</f>
        <v>0</v>
      </c>
      <c r="P20" s="39" t="b">
        <f>AND(TabHN[[#This Row],[Restsitz]]=1,(COUNTIF(TabHN[Rng Rest],TabHN[[#This Row],[Rng Rest]])+TabHN[[#This Row],[Rng Rest]]-1)&gt;TabHN[[#Totals],[S Rest]])</f>
        <v>0</v>
      </c>
      <c r="Q20" s="42">
        <f>IF(TabHN[[#This Row],[Patt]],(Sitze_Ausschuss-SUM(TabHN[Sitze]))/TabHN[[#Totals],[Patt]],0)</f>
        <v>0</v>
      </c>
      <c r="R20" s="43">
        <f>TabHN[[#This Row],[Patt]]*IF(Pattaufloesung="Stimmen",TabPatt[[#This Row],[Stimmen]],TabPatt[[#This Row],[Loserfolg]])*1</f>
        <v>0</v>
      </c>
      <c r="S20" s="44" t="b">
        <f>_xlfn.RANK.EQ(TabHN[[#This Row],[Stimmen/Gelost]],TabHN[Stimmen/Gelost],0)&lt;=(Sitze_Ausschuss-SUM(TabHN[Sitze]))</f>
        <v>1</v>
      </c>
      <c r="T20" s="68"/>
      <c r="U20" s="45">
        <f>COUNTIF(TabSLS[[#This Row],[SP1]:[SP37]],"SITZ")</f>
        <v>0</v>
      </c>
      <c r="V20" s="46">
        <f>IF(TabSLS[[#This Row],[Patt?]],IF(Pattaufloesung="Los-Chance",TabSLS[[#This Row],[Los Chance]],TabSLS[[#This Row],[Pattgewinn]]+0),0)</f>
        <v>0</v>
      </c>
      <c r="W20" s="47">
        <f>Grunddaten[[#This Row],[Sitze im Hauptorgan]]/_xlfn.NUMBERVALUE(MID(INDEX(TabSLS[[#Headers],[:1]:[:37]],COLUMN()-COLUMN(TabSLS[[#Headers],[:1]])+1),2,3))</f>
        <v>0</v>
      </c>
      <c r="X20" s="48">
        <f>Grunddaten[[#This Row],[Sitze im Hauptorgan]]/_xlfn.NUMBERVALUE(MID(INDEX(TabSLS[[#Headers],[:1]:[:37]],COLUMN()-COLUMN(TabSLS[[#Headers],[:1]])+1),2,3))</f>
        <v>0</v>
      </c>
      <c r="Y20" s="48">
        <f>Grunddaten[[#This Row],[Sitze im Hauptorgan]]/_xlfn.NUMBERVALUE(MID(INDEX(TabSLS[[#Headers],[:1]:[:37]],COLUMN()-COLUMN(TabSLS[[#Headers],[:1]])+1),2,3))</f>
        <v>0</v>
      </c>
      <c r="Z20" s="48">
        <f>Grunddaten[[#This Row],[Sitze im Hauptorgan]]/_xlfn.NUMBERVALUE(MID(INDEX(TabSLS[[#Headers],[:1]:[:37]],COLUMN()-COLUMN(TabSLS[[#Headers],[:1]])+1),2,3))</f>
        <v>0</v>
      </c>
      <c r="AA20" s="48">
        <f>Grunddaten[[#This Row],[Sitze im Hauptorgan]]/_xlfn.NUMBERVALUE(MID(INDEX(TabSLS[[#Headers],[:1]:[:37]],COLUMN()-COLUMN(TabSLS[[#Headers],[:1]])+1),2,3))</f>
        <v>0</v>
      </c>
      <c r="AB20" s="48">
        <f>Grunddaten[[#This Row],[Sitze im Hauptorgan]]/_xlfn.NUMBERVALUE(MID(INDEX(TabSLS[[#Headers],[:1]:[:37]],COLUMN()-COLUMN(TabSLS[[#Headers],[:1]])+1),2,3))</f>
        <v>0</v>
      </c>
      <c r="AC20" s="48">
        <f>Grunddaten[[#This Row],[Sitze im Hauptorgan]]/_xlfn.NUMBERVALUE(MID(INDEX(TabSLS[[#Headers],[:1]:[:37]],COLUMN()-COLUMN(TabSLS[[#Headers],[:1]])+1),2,3))</f>
        <v>0</v>
      </c>
      <c r="AD20" s="48">
        <f>Grunddaten[[#This Row],[Sitze im Hauptorgan]]/_xlfn.NUMBERVALUE(MID(INDEX(TabSLS[[#Headers],[:1]:[:37]],COLUMN()-COLUMN(TabSLS[[#Headers],[:1]])+1),2,3))</f>
        <v>0</v>
      </c>
      <c r="AE20" s="48">
        <f>Grunddaten[[#This Row],[Sitze im Hauptorgan]]/_xlfn.NUMBERVALUE(MID(INDEX(TabSLS[[#Headers],[:1]:[:37]],COLUMN()-COLUMN(TabSLS[[#Headers],[:1]])+1),2,3))</f>
        <v>0</v>
      </c>
      <c r="AF20" s="48">
        <f>Grunddaten[[#This Row],[Sitze im Hauptorgan]]/_xlfn.NUMBERVALUE(MID(INDEX(TabSLS[[#Headers],[:1]:[:37]],COLUMN()-COLUMN(TabSLS[[#Headers],[:1]])+1),2,3))</f>
        <v>0</v>
      </c>
      <c r="AG20" s="48">
        <f>Grunddaten[[#This Row],[Sitze im Hauptorgan]]/_xlfn.NUMBERVALUE(MID(INDEX(TabSLS[[#Headers],[:1]:[:37]],COLUMN()-COLUMN(TabSLS[[#Headers],[:1]])+1),2,3))</f>
        <v>0</v>
      </c>
      <c r="AH20" s="48">
        <f>Grunddaten[[#This Row],[Sitze im Hauptorgan]]/_xlfn.NUMBERVALUE(MID(INDEX(TabSLS[[#Headers],[:1]:[:37]],COLUMN()-COLUMN(TabSLS[[#Headers],[:1]])+1),2,3))</f>
        <v>0</v>
      </c>
      <c r="AI20" s="48">
        <f>Grunddaten[[#This Row],[Sitze im Hauptorgan]]/_xlfn.NUMBERVALUE(MID(INDEX(TabSLS[[#Headers],[:1]:[:37]],COLUMN()-COLUMN(TabSLS[[#Headers],[:1]])+1),2,3))</f>
        <v>0</v>
      </c>
      <c r="AJ20" s="48">
        <f>Grunddaten[[#This Row],[Sitze im Hauptorgan]]/_xlfn.NUMBERVALUE(MID(INDEX(TabSLS[[#Headers],[:1]:[:37]],COLUMN()-COLUMN(TabSLS[[#Headers],[:1]])+1),2,3))</f>
        <v>0</v>
      </c>
      <c r="AK20" s="48">
        <f>Grunddaten[[#This Row],[Sitze im Hauptorgan]]/_xlfn.NUMBERVALUE(MID(INDEX(TabSLS[[#Headers],[:1]:[:37]],COLUMN()-COLUMN(TabSLS[[#Headers],[:1]])+1),2,3))</f>
        <v>0</v>
      </c>
      <c r="AL20" s="48">
        <f>Grunddaten[[#This Row],[Sitze im Hauptorgan]]/_xlfn.NUMBERVALUE(MID(INDEX(TabSLS[[#Headers],[:1]:[:37]],COLUMN()-COLUMN(TabSLS[[#Headers],[:1]])+1),2,3))</f>
        <v>0</v>
      </c>
      <c r="AM20" s="48">
        <f>Grunddaten[[#This Row],[Sitze im Hauptorgan]]/_xlfn.NUMBERVALUE(MID(INDEX(TabSLS[[#Headers],[:1]:[:37]],COLUMN()-COLUMN(TabSLS[[#Headers],[:1]])+1),2,3))</f>
        <v>0</v>
      </c>
      <c r="AN20" s="48">
        <f>Grunddaten[[#This Row],[Sitze im Hauptorgan]]/_xlfn.NUMBERVALUE(MID(INDEX(TabSLS[[#Headers],[:1]:[:37]],COLUMN()-COLUMN(TabSLS[[#Headers],[:1]])+1),2,3))</f>
        <v>0</v>
      </c>
      <c r="AO20" s="49">
        <f>Grunddaten[[#This Row],[Sitze im Hauptorgan]]/_xlfn.NUMBERVALUE(MID(INDEX(TabSLS[[#Headers],[:1]:[:37]],COLUMN()-COLUMN(TabSLS[[#Headers],[:1]])+1),2,3))</f>
        <v>0</v>
      </c>
      <c r="AP20" s="50">
        <f>_xlfn.RANK.EQ(TabSLS[[#This Row],[:1]],TabSLS[[:1]:[:37]],0)</f>
        <v>172</v>
      </c>
      <c r="AQ20" s="51">
        <f>_xlfn.RANK.EQ(TabSLS[[#This Row],[:3]],TabSLS[[:1]:[:37]],0)</f>
        <v>172</v>
      </c>
      <c r="AR20" s="51">
        <f>_xlfn.RANK.EQ(TabSLS[[#This Row],[:5]],TabSLS[[:1]:[:37]],0)</f>
        <v>172</v>
      </c>
      <c r="AS20" s="51">
        <f>_xlfn.RANK.EQ(TabSLS[[#This Row],[:7]],TabSLS[[:1]:[:37]],0)</f>
        <v>172</v>
      </c>
      <c r="AT20" s="51">
        <f>_xlfn.RANK.EQ(TabSLS[[#This Row],[:9]],TabSLS[[:1]:[:37]],0)</f>
        <v>172</v>
      </c>
      <c r="AU20" s="51">
        <f>_xlfn.RANK.EQ(TabSLS[[#This Row],[:11]],TabSLS[[:1]:[:37]],0)</f>
        <v>172</v>
      </c>
      <c r="AV20" s="51">
        <f>_xlfn.RANK.EQ(TabSLS[[#This Row],[:13]],TabSLS[[:1]:[:37]],0)</f>
        <v>172</v>
      </c>
      <c r="AW20" s="51">
        <f>_xlfn.RANK.EQ(TabSLS[[#This Row],[:15]],TabSLS[[:1]:[:37]],0)</f>
        <v>172</v>
      </c>
      <c r="AX20" s="51">
        <f>_xlfn.RANK.EQ(TabSLS[[#This Row],[:17]],TabSLS[[:1]:[:37]],0)</f>
        <v>172</v>
      </c>
      <c r="AY20" s="51">
        <f>_xlfn.RANK.EQ(TabSLS[[#This Row],[:19]],TabSLS[[:1]:[:37]],0)</f>
        <v>172</v>
      </c>
      <c r="AZ20" s="51">
        <f>_xlfn.RANK.EQ(TabSLS[[#This Row],[:21]],TabSLS[[:1]:[:37]],0)</f>
        <v>172</v>
      </c>
      <c r="BA20" s="51">
        <f>_xlfn.RANK.EQ(TabSLS[[#This Row],[:23]],TabSLS[[:1]:[:37]],0)</f>
        <v>172</v>
      </c>
      <c r="BB20" s="51">
        <f>_xlfn.RANK.EQ(TabSLS[[#This Row],[:25]],TabSLS[[:1]:[:37]],0)</f>
        <v>172</v>
      </c>
      <c r="BC20" s="51">
        <f>_xlfn.RANK.EQ(TabSLS[[#This Row],[:27]],TabSLS[[:1]:[:37]],0)</f>
        <v>172</v>
      </c>
      <c r="BD20" s="51">
        <f>_xlfn.RANK.EQ(TabSLS[[#This Row],[:29]],TabSLS[[:1]:[:37]],0)</f>
        <v>172</v>
      </c>
      <c r="BE20" s="51">
        <f>_xlfn.RANK.EQ(TabSLS[[#This Row],[:31]],TabSLS[[:1]:[:37]],0)</f>
        <v>172</v>
      </c>
      <c r="BF20" s="51">
        <f>_xlfn.RANK.EQ(TabSLS[[#This Row],[:33]],TabSLS[[:1]:[:37]],0)</f>
        <v>172</v>
      </c>
      <c r="BG20" s="51">
        <f>_xlfn.RANK.EQ(TabSLS[[#This Row],[:35]],TabSLS[[:1]:[:37]],0)</f>
        <v>172</v>
      </c>
      <c r="BH20" s="52">
        <f>_xlfn.RANK.EQ(TabSLS[[#This Row],[:37]],TabSLS[[:1]:[:37]],0)</f>
        <v>172</v>
      </c>
      <c r="BI20" s="53" t="str">
        <f>IF(TabSLS[[#This Row],[R1]]&lt;=Sitze_Ausschuss,IF(TabSLS[[#This Row],[R1]]+COUNTIF(TabSLS[[R1]:[R37]],TabSLS[[#This Row],[R1]])-1&lt;=Sitze_Ausschuss,"SITZ","PATT"),"")</f>
        <v/>
      </c>
      <c r="BJ20" s="54" t="str">
        <f>IF(TabSLS[[#This Row],[R3]]&lt;=Sitze_Ausschuss,IF(TabSLS[[#This Row],[R3]]+COUNTIF(TabSLS[[R1]:[R37]],TabSLS[[#This Row],[R3]])-1&lt;=Sitze_Ausschuss,"SITZ","PATT"),"")</f>
        <v/>
      </c>
      <c r="BK20" s="54" t="str">
        <f>IF(TabSLS[[#This Row],[R5]]&lt;=Sitze_Ausschuss,IF(TabSLS[[#This Row],[R5]]+COUNTIF(TabSLS[[R1]:[R37]],TabSLS[[#This Row],[R5]])-1&lt;=Sitze_Ausschuss,"SITZ","PATT"),"")</f>
        <v/>
      </c>
      <c r="BL20" s="54" t="str">
        <f>IF(TabSLS[[#This Row],[R7]]&lt;=Sitze_Ausschuss,IF(TabSLS[[#This Row],[R7]]+COUNTIF(TabSLS[[R1]:[R37]],TabSLS[[#This Row],[R7]])-1&lt;=Sitze_Ausschuss,"SITZ","PATT"),"")</f>
        <v/>
      </c>
      <c r="BM20" s="54" t="str">
        <f>IF(TabSLS[[#This Row],[R9]]&lt;=Sitze_Ausschuss,IF(TabSLS[[#This Row],[R9]]+COUNTIF(TabSLS[[R1]:[R37]],TabSLS[[#This Row],[R9]])-1&lt;=Sitze_Ausschuss,"SITZ","PATT"),"")</f>
        <v/>
      </c>
      <c r="BN20" s="54" t="str">
        <f>IF(TabSLS[[#This Row],[R11]]&lt;=Sitze_Ausschuss,IF(TabSLS[[#This Row],[R11]]+COUNTIF(TabSLS[[R1]:[R37]],TabSLS[[#This Row],[R11]])-1&lt;=Sitze_Ausschuss,"SITZ","PATT"),"")</f>
        <v/>
      </c>
      <c r="BO20" s="54" t="str">
        <f>IF(TabSLS[[#This Row],[R13]]&lt;=Sitze_Ausschuss,IF(TabSLS[[#This Row],[R13]]+COUNTIF(TabSLS[[R1]:[R37]],TabSLS[[#This Row],[R13]])-1&lt;=Sitze_Ausschuss,"SITZ","PATT"),"")</f>
        <v/>
      </c>
      <c r="BP20" s="54" t="str">
        <f>IF(TabSLS[[#This Row],[R15]]&lt;=Sitze_Ausschuss,IF(TabSLS[[#This Row],[R15]]+COUNTIF(TabSLS[[R1]:[R37]],TabSLS[[#This Row],[R15]])-1&lt;=Sitze_Ausschuss,"SITZ","PATT"),"")</f>
        <v/>
      </c>
      <c r="BQ20" s="54" t="str">
        <f>IF(TabSLS[[#This Row],[R17]]&lt;=Sitze_Ausschuss,IF(TabSLS[[#This Row],[R17]]+COUNTIF(TabSLS[[R1]:[R37]],TabSLS[[#This Row],[R17]])-1&lt;=Sitze_Ausschuss,"SITZ","PATT"),"")</f>
        <v/>
      </c>
      <c r="BR20" s="54" t="str">
        <f>IF(TabSLS[[#This Row],[R19]]&lt;=Sitze_Ausschuss,IF(TabSLS[[#This Row],[R19]]+COUNTIF(TabSLS[[R1]:[R37]],TabSLS[[#This Row],[R19]])-1&lt;=Sitze_Ausschuss,"SITZ","PATT"),"")</f>
        <v/>
      </c>
      <c r="BS20" s="54" t="str">
        <f>IF(TabSLS[[#This Row],[R21]]&lt;=Sitze_Ausschuss,IF(TabSLS[[#This Row],[R21]]+COUNTIF(TabSLS[[R1]:[R37]],TabSLS[[#This Row],[R21]])-1&lt;=Sitze_Ausschuss,"SITZ","PATT"),"")</f>
        <v/>
      </c>
      <c r="BT20" s="54" t="str">
        <f>IF(TabSLS[[#This Row],[R23]]&lt;=Sitze_Ausschuss,IF(TabSLS[[#This Row],[R23]]+COUNTIF(TabSLS[[R1]:[R37]],TabSLS[[#This Row],[R23]])-1&lt;=Sitze_Ausschuss,"SITZ","PATT"),"")</f>
        <v/>
      </c>
      <c r="BU20" s="54" t="str">
        <f>IF(TabSLS[[#This Row],[R25]]&lt;=Sitze_Ausschuss,IF(TabSLS[[#This Row],[R25]]+COUNTIF(TabSLS[[R1]:[R37]],TabSLS[[#This Row],[R25]])-1&lt;=Sitze_Ausschuss,"SITZ","PATT"),"")</f>
        <v/>
      </c>
      <c r="BV20" s="54" t="str">
        <f>IF(TabSLS[[#This Row],[R27]]&lt;=Sitze_Ausschuss,IF(TabSLS[[#This Row],[R27]]+COUNTIF(TabSLS[[R1]:[R37]],TabSLS[[#This Row],[R27]])-1&lt;=Sitze_Ausschuss,"SITZ","PATT"),"")</f>
        <v/>
      </c>
      <c r="BW20" s="54" t="str">
        <f>IF(TabSLS[[#This Row],[R29]]&lt;=Sitze_Ausschuss,IF(TabSLS[[#This Row],[R29]]+COUNTIF(TabSLS[[R1]:[R37]],TabSLS[[#This Row],[R29]])-1&lt;=Sitze_Ausschuss,"SITZ","PATT"),"")</f>
        <v/>
      </c>
      <c r="BX20" s="54" t="str">
        <f>IF(TabSLS[[#This Row],[R31]]&lt;=Sitze_Ausschuss,IF(TabSLS[[#This Row],[R31]]+COUNTIF(TabSLS[[R1]:[R37]],TabSLS[[#This Row],[R31]])-1&lt;=Sitze_Ausschuss,"SITZ","PATT"),"")</f>
        <v/>
      </c>
      <c r="BY20" s="54" t="str">
        <f>IF(TabSLS[[#This Row],[R33]]&lt;=Sitze_Ausschuss,IF(TabSLS[[#This Row],[R33]]+COUNTIF(TabSLS[[R1]:[R37]],TabSLS[[#This Row],[R33]])-1&lt;=Sitze_Ausschuss,"SITZ","PATT"),"")</f>
        <v/>
      </c>
      <c r="BZ20" s="54" t="str">
        <f>IF(TabSLS[[#This Row],[R35]]&lt;=Sitze_Ausschuss,IF(TabSLS[[#This Row],[R35]]+COUNTIF(TabSLS[[R1]:[R37]],TabSLS[[#This Row],[R35]])-1&lt;=Sitze_Ausschuss,"SITZ","PATT"),"")</f>
        <v/>
      </c>
      <c r="CA20" s="55" t="str">
        <f>IF(TabSLS[[#This Row],[R37]]&lt;=Sitze_Ausschuss,IF(TabSLS[[#This Row],[R37]]+COUNTIF(TabSLS[[R1]:[R37]],TabSLS[[#This Row],[R37]])-1&lt;=Sitze_Ausschuss,"SITZ","PATT"),"")</f>
        <v/>
      </c>
      <c r="CB20" s="56" t="b">
        <f>COUNTIF(TabSLS[[#This Row],[SP1]:[SP37]],"PATT")&gt;0</f>
        <v>0</v>
      </c>
      <c r="CC20" s="42">
        <f>IF(TabSLS[[#This Row],[Patt?]],(Sitze_Ausschuss-SUM(TabSLS[Sitze]))/TabSLS[[#Totals],[Patt?]],0)</f>
        <v>0</v>
      </c>
      <c r="CD20" s="57">
        <f>TabSLS[[#This Row],[Patt?]]*IF(Pattaufloesung="Stimmen",TabPatt[[#This Row],[Stimmen]],TabPatt[[#This Row],[Loserfolg]])*1</f>
        <v>0</v>
      </c>
      <c r="CE20" s="58" t="b">
        <f>_xlfn.RANK.EQ(TabSLS[[#This Row],[Stimmen Gelost]],TabSLS[Stimmen Gelost],0)&lt;=(Sitze_Ausschuss-SUM(TabSLS[Sitze]))</f>
        <v>1</v>
      </c>
      <c r="CF20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20" s="68"/>
      <c r="CH20" s="45">
        <f>COUNTIF(TabDH[[#This Row],[SP1]:[SP19]],"SITZ")</f>
        <v>0</v>
      </c>
      <c r="CI20" s="46">
        <f>IF(TabDH[[#This Row],[Patt]],IF(Pattaufloesung="Los-Chance",TabDH[[#This Row],[Los Chance]],TabDH[[#This Row],[Pattgewinn]]+0),0)</f>
        <v>0</v>
      </c>
      <c r="CJ20" s="47">
        <f>Grunddaten[[#This Row],[Sitze im Hauptorgan]]/_xlfn.NUMBERVALUE(MID(INDEX(TabDH[[#Headers],[:1]:[:19]],COLUMN()-COLUMN(TabDH[[#Headers],[:1]])+1),2,3))</f>
        <v>0</v>
      </c>
      <c r="CK20" s="48">
        <f>Grunddaten[[#This Row],[Sitze im Hauptorgan]]/_xlfn.NUMBERVALUE(MID(INDEX(TabDH[[#Headers],[:1]:[:19]],COLUMN()-COLUMN(TabDH[[#Headers],[:1]])+1),2,3))</f>
        <v>0</v>
      </c>
      <c r="CL20" s="48">
        <f>Grunddaten[[#This Row],[Sitze im Hauptorgan]]/_xlfn.NUMBERVALUE(MID(INDEX(TabDH[[#Headers],[:1]:[:19]],COLUMN()-COLUMN(TabDH[[#Headers],[:1]])+1),2,3))</f>
        <v>0</v>
      </c>
      <c r="CM20" s="48">
        <f>Grunddaten[[#This Row],[Sitze im Hauptorgan]]/_xlfn.NUMBERVALUE(MID(INDEX(TabDH[[#Headers],[:1]:[:19]],COLUMN()-COLUMN(TabDH[[#Headers],[:1]])+1),2,3))</f>
        <v>0</v>
      </c>
      <c r="CN20" s="48">
        <f>Grunddaten[[#This Row],[Sitze im Hauptorgan]]/_xlfn.NUMBERVALUE(MID(INDEX(TabDH[[#Headers],[:1]:[:19]],COLUMN()-COLUMN(TabDH[[#Headers],[:1]])+1),2,3))</f>
        <v>0</v>
      </c>
      <c r="CO20" s="48">
        <f>Grunddaten[[#This Row],[Sitze im Hauptorgan]]/_xlfn.NUMBERVALUE(MID(INDEX(TabDH[[#Headers],[:1]:[:19]],COLUMN()-COLUMN(TabDH[[#Headers],[:1]])+1),2,3))</f>
        <v>0</v>
      </c>
      <c r="CP20" s="48">
        <f>Grunddaten[[#This Row],[Sitze im Hauptorgan]]/_xlfn.NUMBERVALUE(MID(INDEX(TabDH[[#Headers],[:1]:[:19]],COLUMN()-COLUMN(TabDH[[#Headers],[:1]])+1),2,3))</f>
        <v>0</v>
      </c>
      <c r="CQ20" s="48">
        <f>Grunddaten[[#This Row],[Sitze im Hauptorgan]]/_xlfn.NUMBERVALUE(MID(INDEX(TabDH[[#Headers],[:1]:[:19]],COLUMN()-COLUMN(TabDH[[#Headers],[:1]])+1),2,3))</f>
        <v>0</v>
      </c>
      <c r="CR20" s="48">
        <f>Grunddaten[[#This Row],[Sitze im Hauptorgan]]/_xlfn.NUMBERVALUE(MID(INDEX(TabDH[[#Headers],[:1]:[:19]],COLUMN()-COLUMN(TabDH[[#Headers],[:1]])+1),2,3))</f>
        <v>0</v>
      </c>
      <c r="CS20" s="48">
        <f>Grunddaten[[#This Row],[Sitze im Hauptorgan]]/_xlfn.NUMBERVALUE(MID(INDEX(TabDH[[#Headers],[:1]:[:19]],COLUMN()-COLUMN(TabDH[[#Headers],[:1]])+1),2,3))</f>
        <v>0</v>
      </c>
      <c r="CT20" s="48">
        <f>Grunddaten[[#This Row],[Sitze im Hauptorgan]]/_xlfn.NUMBERVALUE(MID(INDEX(TabDH[[#Headers],[:1]:[:19]],COLUMN()-COLUMN(TabDH[[#Headers],[:1]])+1),2,3))</f>
        <v>0</v>
      </c>
      <c r="CU20" s="48">
        <f>Grunddaten[[#This Row],[Sitze im Hauptorgan]]/_xlfn.NUMBERVALUE(MID(INDEX(TabDH[[#Headers],[:1]:[:19]],COLUMN()-COLUMN(TabDH[[#Headers],[:1]])+1),2,3))</f>
        <v>0</v>
      </c>
      <c r="CV20" s="48">
        <f>Grunddaten[[#This Row],[Sitze im Hauptorgan]]/_xlfn.NUMBERVALUE(MID(INDEX(TabDH[[#Headers],[:1]:[:19]],COLUMN()-COLUMN(TabDH[[#Headers],[:1]])+1),2,3))</f>
        <v>0</v>
      </c>
      <c r="CW20" s="48">
        <f>Grunddaten[[#This Row],[Sitze im Hauptorgan]]/_xlfn.NUMBERVALUE(MID(INDEX(TabDH[[#Headers],[:1]:[:19]],COLUMN()-COLUMN(TabDH[[#Headers],[:1]])+1),2,3))</f>
        <v>0</v>
      </c>
      <c r="CX20" s="48">
        <f>Grunddaten[[#This Row],[Sitze im Hauptorgan]]/_xlfn.NUMBERVALUE(MID(INDEX(TabDH[[#Headers],[:1]:[:19]],COLUMN()-COLUMN(TabDH[[#Headers],[:1]])+1),2,3))</f>
        <v>0</v>
      </c>
      <c r="CY20" s="48">
        <f>Grunddaten[[#This Row],[Sitze im Hauptorgan]]/_xlfn.NUMBERVALUE(MID(INDEX(TabDH[[#Headers],[:1]:[:19]],COLUMN()-COLUMN(TabDH[[#Headers],[:1]])+1),2,3))</f>
        <v>0</v>
      </c>
      <c r="CZ20" s="48">
        <f>Grunddaten[[#This Row],[Sitze im Hauptorgan]]/_xlfn.NUMBERVALUE(MID(INDEX(TabDH[[#Headers],[:1]:[:19]],COLUMN()-COLUMN(TabDH[[#Headers],[:1]])+1),2,3))</f>
        <v>0</v>
      </c>
      <c r="DA20" s="48">
        <f>Grunddaten[[#This Row],[Sitze im Hauptorgan]]/_xlfn.NUMBERVALUE(MID(INDEX(TabDH[[#Headers],[:1]:[:19]],COLUMN()-COLUMN(TabDH[[#Headers],[:1]])+1),2,3))</f>
        <v>0</v>
      </c>
      <c r="DB20" s="49">
        <f>Grunddaten[[#This Row],[Sitze im Hauptorgan]]/_xlfn.NUMBERVALUE(MID(INDEX(TabDH[[#Headers],[:1]:[:19]],COLUMN()-COLUMN(TabDH[[#Headers],[:1]])+1),2,3))</f>
        <v>0</v>
      </c>
      <c r="DC20" s="50">
        <f>_xlfn.RANK.EQ(TabDH[[#This Row],[:1]],TabDH[[:1]:[:19]],0)</f>
        <v>172</v>
      </c>
      <c r="DD20" s="51">
        <f>_xlfn.RANK.EQ(TabDH[[#This Row],[:2]],TabDH[[:1]:[:19]],0)</f>
        <v>172</v>
      </c>
      <c r="DE20" s="51">
        <f>_xlfn.RANK.EQ(TabDH[[#This Row],[:3]],TabDH[[:1]:[:19]],0)</f>
        <v>172</v>
      </c>
      <c r="DF20" s="51">
        <f>_xlfn.RANK.EQ(TabDH[[#This Row],[:4]],TabDH[[:1]:[:19]],0)</f>
        <v>172</v>
      </c>
      <c r="DG20" s="51">
        <f>_xlfn.RANK.EQ(TabDH[[#This Row],[:5]],TabDH[[:1]:[:19]],0)</f>
        <v>172</v>
      </c>
      <c r="DH20" s="51">
        <f>_xlfn.RANK.EQ(TabDH[[#This Row],[:6]],TabDH[[:1]:[:19]],0)</f>
        <v>172</v>
      </c>
      <c r="DI20" s="51">
        <f>_xlfn.RANK.EQ(TabDH[[#This Row],[:7]],TabDH[[:1]:[:19]],0)</f>
        <v>172</v>
      </c>
      <c r="DJ20" s="51">
        <f>_xlfn.RANK.EQ(TabDH[[#This Row],[:8]],TabDH[[:1]:[:19]],0)</f>
        <v>172</v>
      </c>
      <c r="DK20" s="51">
        <f>_xlfn.RANK.EQ(TabDH[[#This Row],[:9]],TabDH[[:1]:[:19]],0)</f>
        <v>172</v>
      </c>
      <c r="DL20" s="51">
        <f>_xlfn.RANK.EQ(TabDH[[#This Row],[:10]],TabDH[[:1]:[:19]],0)</f>
        <v>172</v>
      </c>
      <c r="DM20" s="51">
        <f>_xlfn.RANK.EQ(TabDH[[#This Row],[:11]],TabDH[[:1]:[:19]],0)</f>
        <v>172</v>
      </c>
      <c r="DN20" s="51">
        <f>_xlfn.RANK.EQ(TabDH[[#This Row],[:12]],TabDH[[:1]:[:19]],0)</f>
        <v>172</v>
      </c>
      <c r="DO20" s="51">
        <f>_xlfn.RANK.EQ(TabDH[[#This Row],[:13]],TabDH[[:1]:[:19]],0)</f>
        <v>172</v>
      </c>
      <c r="DP20" s="51">
        <f>_xlfn.RANK.EQ(TabDH[[#This Row],[:14]],TabDH[[:1]:[:19]],0)</f>
        <v>172</v>
      </c>
      <c r="DQ20" s="51">
        <f>_xlfn.RANK.EQ(TabDH[[#This Row],[:15]],TabDH[[:1]:[:19]],0)</f>
        <v>172</v>
      </c>
      <c r="DR20" s="51">
        <f>_xlfn.RANK.EQ(TabDH[[#This Row],[:16]],TabDH[[:1]:[:19]],0)</f>
        <v>172</v>
      </c>
      <c r="DS20" s="51">
        <f>_xlfn.RANK.EQ(TabDH[[#This Row],[:17]],TabDH[[:1]:[:19]],0)</f>
        <v>172</v>
      </c>
      <c r="DT20" s="51">
        <f>_xlfn.RANK.EQ(TabDH[[#This Row],[:18]],TabDH[[:1]:[:19]],0)</f>
        <v>172</v>
      </c>
      <c r="DU20" s="52">
        <f>_xlfn.RANK.EQ(TabDH[[#This Row],[:19]],TabDH[[:1]:[:19]],0)</f>
        <v>172</v>
      </c>
      <c r="DV20" s="53" t="str">
        <f>IF(TabDH[[#This Row],[R1]]&lt;=Sitze_Ausschuss,IF(TabDH[[#This Row],[R1]]+COUNTIF(TabDH[[R1]:[R19]],TabDH[[#This Row],[R1]])-1&lt;=Sitze_Ausschuss,"SITZ","PATT"),"")</f>
        <v/>
      </c>
      <c r="DW20" s="54" t="str">
        <f>IF(TabDH[[#This Row],[R2]]&lt;=Sitze_Ausschuss,IF(TabDH[[#This Row],[R2]]+COUNTIF(TabDH[[R1]:[R19]],TabDH[[#This Row],[R2]])-1&lt;=Sitze_Ausschuss,"SITZ","PATT"),"")</f>
        <v/>
      </c>
      <c r="DX20" s="54" t="str">
        <f>IF(TabDH[[#This Row],[R3]]&lt;=Sitze_Ausschuss,IF(TabDH[[#This Row],[R3]]+COUNTIF(TabDH[[R1]:[R19]],TabDH[[#This Row],[R3]])-1&lt;=Sitze_Ausschuss,"SITZ","PATT"),"")</f>
        <v/>
      </c>
      <c r="DY20" s="54" t="str">
        <f>IF(TabDH[[#This Row],[R4]]&lt;=Sitze_Ausschuss,IF(TabDH[[#This Row],[R4]]+COUNTIF(TabDH[[R1]:[R19]],TabDH[[#This Row],[R4]])-1&lt;=Sitze_Ausschuss,"SITZ","PATT"),"")</f>
        <v/>
      </c>
      <c r="DZ20" s="54" t="str">
        <f>IF(TabDH[[#This Row],[R5]]&lt;=Sitze_Ausschuss,IF(TabDH[[#This Row],[R5]]+COUNTIF(TabDH[[R1]:[R19]],TabDH[[#This Row],[R5]])-1&lt;=Sitze_Ausschuss,"SITZ","PATT"),"")</f>
        <v/>
      </c>
      <c r="EA20" s="54" t="str">
        <f>IF(TabDH[[#This Row],[R6]]&lt;=Sitze_Ausschuss,IF(TabDH[[#This Row],[R6]]+COUNTIF(TabDH[[R1]:[R19]],TabDH[[#This Row],[R6]])-1&lt;=Sitze_Ausschuss,"SITZ","PATT"),"")</f>
        <v/>
      </c>
      <c r="EB20" s="54" t="str">
        <f>IF(TabDH[[#This Row],[R7]]&lt;=Sitze_Ausschuss,IF(TabDH[[#This Row],[R7]]+COUNTIF(TabDH[[R1]:[R19]],TabDH[[#This Row],[R7]])-1&lt;=Sitze_Ausschuss,"SITZ","PATT"),"")</f>
        <v/>
      </c>
      <c r="EC20" s="54" t="str">
        <f>IF(TabDH[[#This Row],[R8]]&lt;=Sitze_Ausschuss,IF(TabDH[[#This Row],[R8]]+COUNTIF(TabDH[[R1]:[R19]],TabDH[[#This Row],[R8]])-1&lt;=Sitze_Ausschuss,"SITZ","PATT"),"")</f>
        <v/>
      </c>
      <c r="ED20" s="54" t="str">
        <f>IF(TabDH[[#This Row],[R9]]&lt;=Sitze_Ausschuss,IF(TabDH[[#This Row],[R9]]+COUNTIF(TabDH[[R1]:[R19]],TabDH[[#This Row],[R9]])-1&lt;=Sitze_Ausschuss,"SITZ","PATT"),"")</f>
        <v/>
      </c>
      <c r="EE20" s="54" t="str">
        <f>IF(TabDH[[#This Row],[R10]]&lt;=Sitze_Ausschuss,IF(TabDH[[#This Row],[R10]]+COUNTIF(TabDH[[R1]:[R19]],TabDH[[#This Row],[R10]])-1&lt;=Sitze_Ausschuss,"SITZ","PATT"),"")</f>
        <v/>
      </c>
      <c r="EF20" s="54" t="str">
        <f>IF(TabDH[[#This Row],[R11]]&lt;=Sitze_Ausschuss,IF(TabDH[[#This Row],[R11]]+COUNTIF(TabDH[[R1]:[R19]],TabDH[[#This Row],[R11]])-1&lt;=Sitze_Ausschuss,"SITZ","PATT"),"")</f>
        <v/>
      </c>
      <c r="EG20" s="54" t="str">
        <f>IF(TabDH[[#This Row],[R12]]&lt;=Sitze_Ausschuss,IF(TabDH[[#This Row],[R12]]+COUNTIF(TabDH[[R1]:[R19]],TabDH[[#This Row],[R12]])-1&lt;=Sitze_Ausschuss,"SITZ","PATT"),"")</f>
        <v/>
      </c>
      <c r="EH20" s="54" t="str">
        <f>IF(TabDH[[#This Row],[R13]]&lt;=Sitze_Ausschuss,IF(TabDH[[#This Row],[R13]]+COUNTIF(TabDH[[R1]:[R19]],TabDH[[#This Row],[R13]])-1&lt;=Sitze_Ausschuss,"SITZ","PATT"),"")</f>
        <v/>
      </c>
      <c r="EI20" s="54" t="str">
        <f>IF(TabDH[[#This Row],[R14]]&lt;=Sitze_Ausschuss,IF(TabDH[[#This Row],[R14]]+COUNTIF(TabDH[[R1]:[R19]],TabDH[[#This Row],[R14]])-1&lt;=Sitze_Ausschuss,"SITZ","PATT"),"")</f>
        <v/>
      </c>
      <c r="EJ20" s="54" t="str">
        <f>IF(TabDH[[#This Row],[R15]]&lt;=Sitze_Ausschuss,IF(TabDH[[#This Row],[R15]]+COUNTIF(TabDH[[R1]:[R19]],TabDH[[#This Row],[R15]])-1&lt;=Sitze_Ausschuss,"SITZ","PATT"),"")</f>
        <v/>
      </c>
      <c r="EK20" s="54" t="str">
        <f>IF(TabDH[[#This Row],[R16]]&lt;=Sitze_Ausschuss,IF(TabDH[[#This Row],[R16]]+COUNTIF(TabDH[[R1]:[R19]],TabDH[[#This Row],[R16]])-1&lt;=Sitze_Ausschuss,"SITZ","PATT"),"")</f>
        <v/>
      </c>
      <c r="EL20" s="54" t="str">
        <f>IF(TabDH[[#This Row],[R17]]&lt;=Sitze_Ausschuss,IF(TabDH[[#This Row],[R17]]+COUNTIF(TabDH[[R1]:[R19]],TabDH[[#This Row],[R17]])-1&lt;=Sitze_Ausschuss,"SITZ","PATT"),"")</f>
        <v/>
      </c>
      <c r="EM20" s="54" t="str">
        <f>IF(TabDH[[#This Row],[R18]]&lt;=Sitze_Ausschuss,IF(TabDH[[#This Row],[R18]]+COUNTIF(TabDH[[R1]:[R19]],TabDH[[#This Row],[R18]])-1&lt;=Sitze_Ausschuss,"SITZ","PATT"),"")</f>
        <v/>
      </c>
      <c r="EN20" s="54" t="str">
        <f>IF(TabDH[[#This Row],[R19]]&lt;=Sitze_Ausschuss,IF(TabDH[[#This Row],[R19]]+COUNTIF(TabDH[[R1]:[R19]],TabDH[[#This Row],[R19]])-1&lt;=Sitze_Ausschuss,"SITZ","PATT"),"")</f>
        <v/>
      </c>
      <c r="EO20" s="56" t="b">
        <f>COUNTIF(TabDH[[#This Row],[SP1]:[SP19]],"PATT")&gt;0</f>
        <v>0</v>
      </c>
      <c r="EP20" s="42">
        <f>IF(TabDH[[#This Row],[Patt]],(Sitze_Ausschuss-SUM(TabDH[Sitze]))/TabDH[[#Totals],[Patt]],0)</f>
        <v>0</v>
      </c>
      <c r="EQ20" s="57">
        <f>TabDH[[#This Row],[Patt]]*IF(Pattaufloesung="Stimmen",TabPatt[[#This Row],[Stimmen]],TabPatt[[#This Row],[Loserfolg]])*1</f>
        <v>0</v>
      </c>
      <c r="ER20" s="58" t="b">
        <f>_xlfn.RANK.EQ(TabDH[[#This Row],[Stimmen/Gelost]],TabDH[Stimmen/Gelost],0)&lt;=(Sitze_Ausschuss-SUM(TabDH[Sitze]))</f>
        <v>1</v>
      </c>
      <c r="ES20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20" s="68"/>
      <c r="EU20" s="60" t="str">
        <f>Grunddaten[[#This Row],[Partei/Wählergruppe]]&amp;""</f>
        <v>Ausschussgemeinschaft E</v>
      </c>
      <c r="EV20" s="85">
        <v>0</v>
      </c>
      <c r="EW20" s="66" t="b">
        <v>0</v>
      </c>
      <c r="EX20" s="3"/>
      <c r="EY20" s="3"/>
      <c r="EZ20" s="3"/>
      <c r="FA20" s="3"/>
      <c r="FB20" s="3"/>
    </row>
    <row r="21" spans="1:158" x14ac:dyDescent="0.25">
      <c r="A21" s="3"/>
      <c r="B21" s="84" t="s">
        <v>175</v>
      </c>
      <c r="C21" s="133">
        <v>0</v>
      </c>
      <c r="D21" s="83">
        <f>Grunddaten[[#This Row],[Sitze im Hauptorgan]]/Grunddaten[[#Totals],[Sitze im Hauptorgan]]*Sitze_Ausschuss</f>
        <v>0</v>
      </c>
      <c r="E21" s="33">
        <f>IF(ROUNDDOWN(Grunddaten[[#This Row],[Proporzgenaue Zahl Ausschuss]],0)&lt;&gt;ROUNDUP(Grunddaten[[#This Row],[Proporzgenaue Zahl Ausschuss]],0), ROUNDDOWN(Grunddaten[[#This Row],[Proporzgenaue Zahl Ausschuss]],0)&amp;" oder "&amp;ROUNDUP(Grunddaten[[#This Row],[Proporzgenaue Zahl Ausschuss]],0),ROUND(Grunddaten[[#This Row],[Proporzgenaue Zahl Ausschuss]],0))</f>
        <v>0</v>
      </c>
      <c r="F21" s="61" t="str">
        <f t="shared" si="0"/>
        <v>OK</v>
      </c>
      <c r="G21" s="62" t="str">
        <f>IF(TabSLS[[#This Row],[QK verletzt]],"NOK","OK")</f>
        <v>OK</v>
      </c>
      <c r="H21" s="63" t="str">
        <f>IF(TabDH[[#This Row],[QK verletzt]],"NOK","OK")</f>
        <v>OK</v>
      </c>
      <c r="I21" s="64"/>
      <c r="J21" s="37">
        <f>TabHN[[#This Row],[S ganz]]+IF(NOT(TabHN[[#This Row],[Patt]]),TabHN[[#This Row],[Restsitz]],0)</f>
        <v>0</v>
      </c>
      <c r="K21" s="38">
        <f>IF(TabHN[[#This Row],[Patt]],IF(Pattaufloesung="Los-Chance",TabHN[[#This Row],[Los Chance]],TabHN[[#This Row],[Pattgewinn]]+0),0)</f>
        <v>0</v>
      </c>
      <c r="L21" s="39">
        <f>INT(Grunddaten[[#This Row],[Proporzgenaue Zahl Ausschuss]])</f>
        <v>0</v>
      </c>
      <c r="M21" s="40">
        <f>ROUND(Grunddaten[[#This Row],[Proporzgenaue Zahl Ausschuss]]-TabHN[[#This Row],[S ganz]],4)</f>
        <v>0</v>
      </c>
      <c r="N21" s="41">
        <f>_xlfn.RANK.EQ(TabHN[[#This Row],[S Rest]],TabHN[S Rest],0)</f>
        <v>10</v>
      </c>
      <c r="O21" s="39">
        <f>IF(TabHN[[#This Row],[Rng Rest]]&lt;=TabHN[[#Totals],[S Rest]],1,0)</f>
        <v>0</v>
      </c>
      <c r="P21" s="39" t="b">
        <f>AND(TabHN[[#This Row],[Restsitz]]=1,(COUNTIF(TabHN[Rng Rest],TabHN[[#This Row],[Rng Rest]])+TabHN[[#This Row],[Rng Rest]]-1)&gt;TabHN[[#Totals],[S Rest]])</f>
        <v>0</v>
      </c>
      <c r="Q21" s="42">
        <f>IF(TabHN[[#This Row],[Patt]],(Sitze_Ausschuss-SUM(TabHN[Sitze]))/TabHN[[#Totals],[Patt]],0)</f>
        <v>0</v>
      </c>
      <c r="R21" s="43">
        <f>TabHN[[#This Row],[Patt]]*IF(Pattaufloesung="Stimmen",TabPatt[[#This Row],[Stimmen]],TabPatt[[#This Row],[Loserfolg]])*1</f>
        <v>0</v>
      </c>
      <c r="S21" s="44" t="b">
        <f>_xlfn.RANK.EQ(TabHN[[#This Row],[Stimmen/Gelost]],TabHN[Stimmen/Gelost],0)&lt;=(Sitze_Ausschuss-SUM(TabHN[Sitze]))</f>
        <v>1</v>
      </c>
      <c r="T21" s="65"/>
      <c r="U21" s="45">
        <f>COUNTIF(TabSLS[[#This Row],[SP1]:[SP37]],"SITZ")</f>
        <v>0</v>
      </c>
      <c r="V21" s="46">
        <f>IF(TabSLS[[#This Row],[Patt?]],IF(Pattaufloesung="Los-Chance",TabSLS[[#This Row],[Los Chance]],TabSLS[[#This Row],[Pattgewinn]]+0),0)</f>
        <v>0</v>
      </c>
      <c r="W21" s="47">
        <f>Grunddaten[[#This Row],[Sitze im Hauptorgan]]/_xlfn.NUMBERVALUE(MID(INDEX(TabSLS[[#Headers],[:1]:[:37]],COLUMN()-COLUMN(TabSLS[[#Headers],[:1]])+1),2,3))</f>
        <v>0</v>
      </c>
      <c r="X21" s="48">
        <f>Grunddaten[[#This Row],[Sitze im Hauptorgan]]/_xlfn.NUMBERVALUE(MID(INDEX(TabSLS[[#Headers],[:1]:[:37]],COLUMN()-COLUMN(TabSLS[[#Headers],[:1]])+1),2,3))</f>
        <v>0</v>
      </c>
      <c r="Y21" s="48">
        <f>Grunddaten[[#This Row],[Sitze im Hauptorgan]]/_xlfn.NUMBERVALUE(MID(INDEX(TabSLS[[#Headers],[:1]:[:37]],COLUMN()-COLUMN(TabSLS[[#Headers],[:1]])+1),2,3))</f>
        <v>0</v>
      </c>
      <c r="Z21" s="48">
        <f>Grunddaten[[#This Row],[Sitze im Hauptorgan]]/_xlfn.NUMBERVALUE(MID(INDEX(TabSLS[[#Headers],[:1]:[:37]],COLUMN()-COLUMN(TabSLS[[#Headers],[:1]])+1),2,3))</f>
        <v>0</v>
      </c>
      <c r="AA21" s="48">
        <f>Grunddaten[[#This Row],[Sitze im Hauptorgan]]/_xlfn.NUMBERVALUE(MID(INDEX(TabSLS[[#Headers],[:1]:[:37]],COLUMN()-COLUMN(TabSLS[[#Headers],[:1]])+1),2,3))</f>
        <v>0</v>
      </c>
      <c r="AB21" s="48">
        <f>Grunddaten[[#This Row],[Sitze im Hauptorgan]]/_xlfn.NUMBERVALUE(MID(INDEX(TabSLS[[#Headers],[:1]:[:37]],COLUMN()-COLUMN(TabSLS[[#Headers],[:1]])+1),2,3))</f>
        <v>0</v>
      </c>
      <c r="AC21" s="48">
        <f>Grunddaten[[#This Row],[Sitze im Hauptorgan]]/_xlfn.NUMBERVALUE(MID(INDEX(TabSLS[[#Headers],[:1]:[:37]],COLUMN()-COLUMN(TabSLS[[#Headers],[:1]])+1),2,3))</f>
        <v>0</v>
      </c>
      <c r="AD21" s="48">
        <f>Grunddaten[[#This Row],[Sitze im Hauptorgan]]/_xlfn.NUMBERVALUE(MID(INDEX(TabSLS[[#Headers],[:1]:[:37]],COLUMN()-COLUMN(TabSLS[[#Headers],[:1]])+1),2,3))</f>
        <v>0</v>
      </c>
      <c r="AE21" s="48">
        <f>Grunddaten[[#This Row],[Sitze im Hauptorgan]]/_xlfn.NUMBERVALUE(MID(INDEX(TabSLS[[#Headers],[:1]:[:37]],COLUMN()-COLUMN(TabSLS[[#Headers],[:1]])+1),2,3))</f>
        <v>0</v>
      </c>
      <c r="AF21" s="48">
        <f>Grunddaten[[#This Row],[Sitze im Hauptorgan]]/_xlfn.NUMBERVALUE(MID(INDEX(TabSLS[[#Headers],[:1]:[:37]],COLUMN()-COLUMN(TabSLS[[#Headers],[:1]])+1),2,3))</f>
        <v>0</v>
      </c>
      <c r="AG21" s="48">
        <f>Grunddaten[[#This Row],[Sitze im Hauptorgan]]/_xlfn.NUMBERVALUE(MID(INDEX(TabSLS[[#Headers],[:1]:[:37]],COLUMN()-COLUMN(TabSLS[[#Headers],[:1]])+1),2,3))</f>
        <v>0</v>
      </c>
      <c r="AH21" s="48">
        <f>Grunddaten[[#This Row],[Sitze im Hauptorgan]]/_xlfn.NUMBERVALUE(MID(INDEX(TabSLS[[#Headers],[:1]:[:37]],COLUMN()-COLUMN(TabSLS[[#Headers],[:1]])+1),2,3))</f>
        <v>0</v>
      </c>
      <c r="AI21" s="48">
        <f>Grunddaten[[#This Row],[Sitze im Hauptorgan]]/_xlfn.NUMBERVALUE(MID(INDEX(TabSLS[[#Headers],[:1]:[:37]],COLUMN()-COLUMN(TabSLS[[#Headers],[:1]])+1),2,3))</f>
        <v>0</v>
      </c>
      <c r="AJ21" s="48">
        <f>Grunddaten[[#This Row],[Sitze im Hauptorgan]]/_xlfn.NUMBERVALUE(MID(INDEX(TabSLS[[#Headers],[:1]:[:37]],COLUMN()-COLUMN(TabSLS[[#Headers],[:1]])+1),2,3))</f>
        <v>0</v>
      </c>
      <c r="AK21" s="48">
        <f>Grunddaten[[#This Row],[Sitze im Hauptorgan]]/_xlfn.NUMBERVALUE(MID(INDEX(TabSLS[[#Headers],[:1]:[:37]],COLUMN()-COLUMN(TabSLS[[#Headers],[:1]])+1),2,3))</f>
        <v>0</v>
      </c>
      <c r="AL21" s="48">
        <f>Grunddaten[[#This Row],[Sitze im Hauptorgan]]/_xlfn.NUMBERVALUE(MID(INDEX(TabSLS[[#Headers],[:1]:[:37]],COLUMN()-COLUMN(TabSLS[[#Headers],[:1]])+1),2,3))</f>
        <v>0</v>
      </c>
      <c r="AM21" s="48">
        <f>Grunddaten[[#This Row],[Sitze im Hauptorgan]]/_xlfn.NUMBERVALUE(MID(INDEX(TabSLS[[#Headers],[:1]:[:37]],COLUMN()-COLUMN(TabSLS[[#Headers],[:1]])+1),2,3))</f>
        <v>0</v>
      </c>
      <c r="AN21" s="48">
        <f>Grunddaten[[#This Row],[Sitze im Hauptorgan]]/_xlfn.NUMBERVALUE(MID(INDEX(TabSLS[[#Headers],[:1]:[:37]],COLUMN()-COLUMN(TabSLS[[#Headers],[:1]])+1),2,3))</f>
        <v>0</v>
      </c>
      <c r="AO21" s="49">
        <f>Grunddaten[[#This Row],[Sitze im Hauptorgan]]/_xlfn.NUMBERVALUE(MID(INDEX(TabSLS[[#Headers],[:1]:[:37]],COLUMN()-COLUMN(TabSLS[[#Headers],[:1]])+1),2,3))</f>
        <v>0</v>
      </c>
      <c r="AP21" s="50">
        <f>_xlfn.RANK.EQ(TabSLS[[#This Row],[:1]],TabSLS[[:1]:[:37]],0)</f>
        <v>172</v>
      </c>
      <c r="AQ21" s="51">
        <f>_xlfn.RANK.EQ(TabSLS[[#This Row],[:3]],TabSLS[[:1]:[:37]],0)</f>
        <v>172</v>
      </c>
      <c r="AR21" s="51">
        <f>_xlfn.RANK.EQ(TabSLS[[#This Row],[:5]],TabSLS[[:1]:[:37]],0)</f>
        <v>172</v>
      </c>
      <c r="AS21" s="51">
        <f>_xlfn.RANK.EQ(TabSLS[[#This Row],[:7]],TabSLS[[:1]:[:37]],0)</f>
        <v>172</v>
      </c>
      <c r="AT21" s="51">
        <f>_xlfn.RANK.EQ(TabSLS[[#This Row],[:9]],TabSLS[[:1]:[:37]],0)</f>
        <v>172</v>
      </c>
      <c r="AU21" s="51">
        <f>_xlfn.RANK.EQ(TabSLS[[#This Row],[:11]],TabSLS[[:1]:[:37]],0)</f>
        <v>172</v>
      </c>
      <c r="AV21" s="51">
        <f>_xlfn.RANK.EQ(TabSLS[[#This Row],[:13]],TabSLS[[:1]:[:37]],0)</f>
        <v>172</v>
      </c>
      <c r="AW21" s="51">
        <f>_xlfn.RANK.EQ(TabSLS[[#This Row],[:15]],TabSLS[[:1]:[:37]],0)</f>
        <v>172</v>
      </c>
      <c r="AX21" s="51">
        <f>_xlfn.RANK.EQ(TabSLS[[#This Row],[:17]],TabSLS[[:1]:[:37]],0)</f>
        <v>172</v>
      </c>
      <c r="AY21" s="51">
        <f>_xlfn.RANK.EQ(TabSLS[[#This Row],[:19]],TabSLS[[:1]:[:37]],0)</f>
        <v>172</v>
      </c>
      <c r="AZ21" s="51">
        <f>_xlfn.RANK.EQ(TabSLS[[#This Row],[:21]],TabSLS[[:1]:[:37]],0)</f>
        <v>172</v>
      </c>
      <c r="BA21" s="51">
        <f>_xlfn.RANK.EQ(TabSLS[[#This Row],[:23]],TabSLS[[:1]:[:37]],0)</f>
        <v>172</v>
      </c>
      <c r="BB21" s="51">
        <f>_xlfn.RANK.EQ(TabSLS[[#This Row],[:25]],TabSLS[[:1]:[:37]],0)</f>
        <v>172</v>
      </c>
      <c r="BC21" s="51">
        <f>_xlfn.RANK.EQ(TabSLS[[#This Row],[:27]],TabSLS[[:1]:[:37]],0)</f>
        <v>172</v>
      </c>
      <c r="BD21" s="51">
        <f>_xlfn.RANK.EQ(TabSLS[[#This Row],[:29]],TabSLS[[:1]:[:37]],0)</f>
        <v>172</v>
      </c>
      <c r="BE21" s="51">
        <f>_xlfn.RANK.EQ(TabSLS[[#This Row],[:31]],TabSLS[[:1]:[:37]],0)</f>
        <v>172</v>
      </c>
      <c r="BF21" s="51">
        <f>_xlfn.RANK.EQ(TabSLS[[#This Row],[:33]],TabSLS[[:1]:[:37]],0)</f>
        <v>172</v>
      </c>
      <c r="BG21" s="51">
        <f>_xlfn.RANK.EQ(TabSLS[[#This Row],[:35]],TabSLS[[:1]:[:37]],0)</f>
        <v>172</v>
      </c>
      <c r="BH21" s="52">
        <f>_xlfn.RANK.EQ(TabSLS[[#This Row],[:37]],TabSLS[[:1]:[:37]],0)</f>
        <v>172</v>
      </c>
      <c r="BI21" s="53" t="str">
        <f>IF(TabSLS[[#This Row],[R1]]&lt;=Sitze_Ausschuss,IF(TabSLS[[#This Row],[R1]]+COUNTIF(TabSLS[[R1]:[R37]],TabSLS[[#This Row],[R1]])-1&lt;=Sitze_Ausschuss,"SITZ","PATT"),"")</f>
        <v/>
      </c>
      <c r="BJ21" s="54" t="str">
        <f>IF(TabSLS[[#This Row],[R3]]&lt;=Sitze_Ausschuss,IF(TabSLS[[#This Row],[R3]]+COUNTIF(TabSLS[[R1]:[R37]],TabSLS[[#This Row],[R3]])-1&lt;=Sitze_Ausschuss,"SITZ","PATT"),"")</f>
        <v/>
      </c>
      <c r="BK21" s="54" t="str">
        <f>IF(TabSLS[[#This Row],[R5]]&lt;=Sitze_Ausschuss,IF(TabSLS[[#This Row],[R5]]+COUNTIF(TabSLS[[R1]:[R37]],TabSLS[[#This Row],[R5]])-1&lt;=Sitze_Ausschuss,"SITZ","PATT"),"")</f>
        <v/>
      </c>
      <c r="BL21" s="54" t="str">
        <f>IF(TabSLS[[#This Row],[R7]]&lt;=Sitze_Ausschuss,IF(TabSLS[[#This Row],[R7]]+COUNTIF(TabSLS[[R1]:[R37]],TabSLS[[#This Row],[R7]])-1&lt;=Sitze_Ausschuss,"SITZ","PATT"),"")</f>
        <v/>
      </c>
      <c r="BM21" s="54" t="str">
        <f>IF(TabSLS[[#This Row],[R9]]&lt;=Sitze_Ausschuss,IF(TabSLS[[#This Row],[R9]]+COUNTIF(TabSLS[[R1]:[R37]],TabSLS[[#This Row],[R9]])-1&lt;=Sitze_Ausschuss,"SITZ","PATT"),"")</f>
        <v/>
      </c>
      <c r="BN21" s="54" t="str">
        <f>IF(TabSLS[[#This Row],[R11]]&lt;=Sitze_Ausschuss,IF(TabSLS[[#This Row],[R11]]+COUNTIF(TabSLS[[R1]:[R37]],TabSLS[[#This Row],[R11]])-1&lt;=Sitze_Ausschuss,"SITZ","PATT"),"")</f>
        <v/>
      </c>
      <c r="BO21" s="54" t="str">
        <f>IF(TabSLS[[#This Row],[R13]]&lt;=Sitze_Ausschuss,IF(TabSLS[[#This Row],[R13]]+COUNTIF(TabSLS[[R1]:[R37]],TabSLS[[#This Row],[R13]])-1&lt;=Sitze_Ausschuss,"SITZ","PATT"),"")</f>
        <v/>
      </c>
      <c r="BP21" s="54" t="str">
        <f>IF(TabSLS[[#This Row],[R15]]&lt;=Sitze_Ausschuss,IF(TabSLS[[#This Row],[R15]]+COUNTIF(TabSLS[[R1]:[R37]],TabSLS[[#This Row],[R15]])-1&lt;=Sitze_Ausschuss,"SITZ","PATT"),"")</f>
        <v/>
      </c>
      <c r="BQ21" s="54" t="str">
        <f>IF(TabSLS[[#This Row],[R17]]&lt;=Sitze_Ausschuss,IF(TabSLS[[#This Row],[R17]]+COUNTIF(TabSLS[[R1]:[R37]],TabSLS[[#This Row],[R17]])-1&lt;=Sitze_Ausschuss,"SITZ","PATT"),"")</f>
        <v/>
      </c>
      <c r="BR21" s="54" t="str">
        <f>IF(TabSLS[[#This Row],[R19]]&lt;=Sitze_Ausschuss,IF(TabSLS[[#This Row],[R19]]+COUNTIF(TabSLS[[R1]:[R37]],TabSLS[[#This Row],[R19]])-1&lt;=Sitze_Ausschuss,"SITZ","PATT"),"")</f>
        <v/>
      </c>
      <c r="BS21" s="54" t="str">
        <f>IF(TabSLS[[#This Row],[R21]]&lt;=Sitze_Ausschuss,IF(TabSLS[[#This Row],[R21]]+COUNTIF(TabSLS[[R1]:[R37]],TabSLS[[#This Row],[R21]])-1&lt;=Sitze_Ausschuss,"SITZ","PATT"),"")</f>
        <v/>
      </c>
      <c r="BT21" s="54" t="str">
        <f>IF(TabSLS[[#This Row],[R23]]&lt;=Sitze_Ausschuss,IF(TabSLS[[#This Row],[R23]]+COUNTIF(TabSLS[[R1]:[R37]],TabSLS[[#This Row],[R23]])-1&lt;=Sitze_Ausschuss,"SITZ","PATT"),"")</f>
        <v/>
      </c>
      <c r="BU21" s="54" t="str">
        <f>IF(TabSLS[[#This Row],[R25]]&lt;=Sitze_Ausschuss,IF(TabSLS[[#This Row],[R25]]+COUNTIF(TabSLS[[R1]:[R37]],TabSLS[[#This Row],[R25]])-1&lt;=Sitze_Ausschuss,"SITZ","PATT"),"")</f>
        <v/>
      </c>
      <c r="BV21" s="54" t="str">
        <f>IF(TabSLS[[#This Row],[R27]]&lt;=Sitze_Ausschuss,IF(TabSLS[[#This Row],[R27]]+COUNTIF(TabSLS[[R1]:[R37]],TabSLS[[#This Row],[R27]])-1&lt;=Sitze_Ausschuss,"SITZ","PATT"),"")</f>
        <v/>
      </c>
      <c r="BW21" s="54" t="str">
        <f>IF(TabSLS[[#This Row],[R29]]&lt;=Sitze_Ausschuss,IF(TabSLS[[#This Row],[R29]]+COUNTIF(TabSLS[[R1]:[R37]],TabSLS[[#This Row],[R29]])-1&lt;=Sitze_Ausschuss,"SITZ","PATT"),"")</f>
        <v/>
      </c>
      <c r="BX21" s="54" t="str">
        <f>IF(TabSLS[[#This Row],[R31]]&lt;=Sitze_Ausschuss,IF(TabSLS[[#This Row],[R31]]+COUNTIF(TabSLS[[R1]:[R37]],TabSLS[[#This Row],[R31]])-1&lt;=Sitze_Ausschuss,"SITZ","PATT"),"")</f>
        <v/>
      </c>
      <c r="BY21" s="54" t="str">
        <f>IF(TabSLS[[#This Row],[R33]]&lt;=Sitze_Ausschuss,IF(TabSLS[[#This Row],[R33]]+COUNTIF(TabSLS[[R1]:[R37]],TabSLS[[#This Row],[R33]])-1&lt;=Sitze_Ausschuss,"SITZ","PATT"),"")</f>
        <v/>
      </c>
      <c r="BZ21" s="54" t="str">
        <f>IF(TabSLS[[#This Row],[R35]]&lt;=Sitze_Ausschuss,IF(TabSLS[[#This Row],[R35]]+COUNTIF(TabSLS[[R1]:[R37]],TabSLS[[#This Row],[R35]])-1&lt;=Sitze_Ausschuss,"SITZ","PATT"),"")</f>
        <v/>
      </c>
      <c r="CA21" s="55" t="str">
        <f>IF(TabSLS[[#This Row],[R37]]&lt;=Sitze_Ausschuss,IF(TabSLS[[#This Row],[R37]]+COUNTIF(TabSLS[[R1]:[R37]],TabSLS[[#This Row],[R37]])-1&lt;=Sitze_Ausschuss,"SITZ","PATT"),"")</f>
        <v/>
      </c>
      <c r="CB21" s="56" t="b">
        <f>COUNTIF(TabSLS[[#This Row],[SP1]:[SP37]],"PATT")&gt;0</f>
        <v>0</v>
      </c>
      <c r="CC21" s="42">
        <f>IF(TabSLS[[#This Row],[Patt?]],(Sitze_Ausschuss-SUM(TabSLS[Sitze]))/TabSLS[[#Totals],[Patt?]],0)</f>
        <v>0</v>
      </c>
      <c r="CD21" s="57">
        <f>TabSLS[[#This Row],[Patt?]]*IF(Pattaufloesung="Stimmen",TabPatt[[#This Row],[Stimmen]],TabPatt[[#This Row],[Loserfolg]])*1</f>
        <v>0</v>
      </c>
      <c r="CE21" s="58" t="b">
        <f>_xlfn.RANK.EQ(TabSLS[[#This Row],[Stimmen Gelost]],TabSLS[Stimmen Gelost],0)&lt;=(Sitze_Ausschuss-SUM(TabSLS[Sitze]))</f>
        <v>1</v>
      </c>
      <c r="CF21" s="59" t="b">
        <f>OR(TabSLS[[#This Row],[Sitze]]&lt;ROUNDDOWN(Grunddaten[[#This Row],[Proporzgenaue Zahl Ausschuss]],0),TabSLS[[#This Row],[Sitze]]+(TabSLS[[#This Row],[Patt?]]*1)&gt;ROUNDUP(Grunddaten[[#This Row],[Proporzgenaue Zahl Ausschuss]],0))</f>
        <v>0</v>
      </c>
      <c r="CG21" s="3"/>
      <c r="CH21" s="45">
        <f>COUNTIF(TabDH[[#This Row],[SP1]:[SP19]],"SITZ")</f>
        <v>0</v>
      </c>
      <c r="CI21" s="46">
        <f>IF(TabDH[[#This Row],[Patt]],IF(Pattaufloesung="Los-Chance",TabDH[[#This Row],[Los Chance]],TabDH[[#This Row],[Pattgewinn]]+0),0)</f>
        <v>0</v>
      </c>
      <c r="CJ21" s="47">
        <f>Grunddaten[[#This Row],[Sitze im Hauptorgan]]/_xlfn.NUMBERVALUE(MID(INDEX(TabDH[[#Headers],[:1]:[:19]],COLUMN()-COLUMN(TabDH[[#Headers],[:1]])+1),2,3))</f>
        <v>0</v>
      </c>
      <c r="CK21" s="48">
        <f>Grunddaten[[#This Row],[Sitze im Hauptorgan]]/_xlfn.NUMBERVALUE(MID(INDEX(TabDH[[#Headers],[:1]:[:19]],COLUMN()-COLUMN(TabDH[[#Headers],[:1]])+1),2,3))</f>
        <v>0</v>
      </c>
      <c r="CL21" s="48">
        <f>Grunddaten[[#This Row],[Sitze im Hauptorgan]]/_xlfn.NUMBERVALUE(MID(INDEX(TabDH[[#Headers],[:1]:[:19]],COLUMN()-COLUMN(TabDH[[#Headers],[:1]])+1),2,3))</f>
        <v>0</v>
      </c>
      <c r="CM21" s="48">
        <f>Grunddaten[[#This Row],[Sitze im Hauptorgan]]/_xlfn.NUMBERVALUE(MID(INDEX(TabDH[[#Headers],[:1]:[:19]],COLUMN()-COLUMN(TabDH[[#Headers],[:1]])+1),2,3))</f>
        <v>0</v>
      </c>
      <c r="CN21" s="48">
        <f>Grunddaten[[#This Row],[Sitze im Hauptorgan]]/_xlfn.NUMBERVALUE(MID(INDEX(TabDH[[#Headers],[:1]:[:19]],COLUMN()-COLUMN(TabDH[[#Headers],[:1]])+1),2,3))</f>
        <v>0</v>
      </c>
      <c r="CO21" s="48">
        <f>Grunddaten[[#This Row],[Sitze im Hauptorgan]]/_xlfn.NUMBERVALUE(MID(INDEX(TabDH[[#Headers],[:1]:[:19]],COLUMN()-COLUMN(TabDH[[#Headers],[:1]])+1),2,3))</f>
        <v>0</v>
      </c>
      <c r="CP21" s="48">
        <f>Grunddaten[[#This Row],[Sitze im Hauptorgan]]/_xlfn.NUMBERVALUE(MID(INDEX(TabDH[[#Headers],[:1]:[:19]],COLUMN()-COLUMN(TabDH[[#Headers],[:1]])+1),2,3))</f>
        <v>0</v>
      </c>
      <c r="CQ21" s="48">
        <f>Grunddaten[[#This Row],[Sitze im Hauptorgan]]/_xlfn.NUMBERVALUE(MID(INDEX(TabDH[[#Headers],[:1]:[:19]],COLUMN()-COLUMN(TabDH[[#Headers],[:1]])+1),2,3))</f>
        <v>0</v>
      </c>
      <c r="CR21" s="48">
        <f>Grunddaten[[#This Row],[Sitze im Hauptorgan]]/_xlfn.NUMBERVALUE(MID(INDEX(TabDH[[#Headers],[:1]:[:19]],COLUMN()-COLUMN(TabDH[[#Headers],[:1]])+1),2,3))</f>
        <v>0</v>
      </c>
      <c r="CS21" s="48">
        <f>Grunddaten[[#This Row],[Sitze im Hauptorgan]]/_xlfn.NUMBERVALUE(MID(INDEX(TabDH[[#Headers],[:1]:[:19]],COLUMN()-COLUMN(TabDH[[#Headers],[:1]])+1),2,3))</f>
        <v>0</v>
      </c>
      <c r="CT21" s="48">
        <f>Grunddaten[[#This Row],[Sitze im Hauptorgan]]/_xlfn.NUMBERVALUE(MID(INDEX(TabDH[[#Headers],[:1]:[:19]],COLUMN()-COLUMN(TabDH[[#Headers],[:1]])+1),2,3))</f>
        <v>0</v>
      </c>
      <c r="CU21" s="48">
        <f>Grunddaten[[#This Row],[Sitze im Hauptorgan]]/_xlfn.NUMBERVALUE(MID(INDEX(TabDH[[#Headers],[:1]:[:19]],COLUMN()-COLUMN(TabDH[[#Headers],[:1]])+1),2,3))</f>
        <v>0</v>
      </c>
      <c r="CV21" s="48">
        <f>Grunddaten[[#This Row],[Sitze im Hauptorgan]]/_xlfn.NUMBERVALUE(MID(INDEX(TabDH[[#Headers],[:1]:[:19]],COLUMN()-COLUMN(TabDH[[#Headers],[:1]])+1),2,3))</f>
        <v>0</v>
      </c>
      <c r="CW21" s="48">
        <f>Grunddaten[[#This Row],[Sitze im Hauptorgan]]/_xlfn.NUMBERVALUE(MID(INDEX(TabDH[[#Headers],[:1]:[:19]],COLUMN()-COLUMN(TabDH[[#Headers],[:1]])+1),2,3))</f>
        <v>0</v>
      </c>
      <c r="CX21" s="48">
        <f>Grunddaten[[#This Row],[Sitze im Hauptorgan]]/_xlfn.NUMBERVALUE(MID(INDEX(TabDH[[#Headers],[:1]:[:19]],COLUMN()-COLUMN(TabDH[[#Headers],[:1]])+1),2,3))</f>
        <v>0</v>
      </c>
      <c r="CY21" s="48">
        <f>Grunddaten[[#This Row],[Sitze im Hauptorgan]]/_xlfn.NUMBERVALUE(MID(INDEX(TabDH[[#Headers],[:1]:[:19]],COLUMN()-COLUMN(TabDH[[#Headers],[:1]])+1),2,3))</f>
        <v>0</v>
      </c>
      <c r="CZ21" s="48">
        <f>Grunddaten[[#This Row],[Sitze im Hauptorgan]]/_xlfn.NUMBERVALUE(MID(INDEX(TabDH[[#Headers],[:1]:[:19]],COLUMN()-COLUMN(TabDH[[#Headers],[:1]])+1),2,3))</f>
        <v>0</v>
      </c>
      <c r="DA21" s="48">
        <f>Grunddaten[[#This Row],[Sitze im Hauptorgan]]/_xlfn.NUMBERVALUE(MID(INDEX(TabDH[[#Headers],[:1]:[:19]],COLUMN()-COLUMN(TabDH[[#Headers],[:1]])+1),2,3))</f>
        <v>0</v>
      </c>
      <c r="DB21" s="49">
        <f>Grunddaten[[#This Row],[Sitze im Hauptorgan]]/_xlfn.NUMBERVALUE(MID(INDEX(TabDH[[#Headers],[:1]:[:19]],COLUMN()-COLUMN(TabDH[[#Headers],[:1]])+1),2,3))</f>
        <v>0</v>
      </c>
      <c r="DC21" s="50">
        <f>_xlfn.RANK.EQ(TabDH[[#This Row],[:1]],TabDH[[:1]:[:19]],0)</f>
        <v>172</v>
      </c>
      <c r="DD21" s="51">
        <f>_xlfn.RANK.EQ(TabDH[[#This Row],[:2]],TabDH[[:1]:[:19]],0)</f>
        <v>172</v>
      </c>
      <c r="DE21" s="51">
        <f>_xlfn.RANK.EQ(TabDH[[#This Row],[:3]],TabDH[[:1]:[:19]],0)</f>
        <v>172</v>
      </c>
      <c r="DF21" s="51">
        <f>_xlfn.RANK.EQ(TabDH[[#This Row],[:4]],TabDH[[:1]:[:19]],0)</f>
        <v>172</v>
      </c>
      <c r="DG21" s="51">
        <f>_xlfn.RANK.EQ(TabDH[[#This Row],[:5]],TabDH[[:1]:[:19]],0)</f>
        <v>172</v>
      </c>
      <c r="DH21" s="51">
        <f>_xlfn.RANK.EQ(TabDH[[#This Row],[:6]],TabDH[[:1]:[:19]],0)</f>
        <v>172</v>
      </c>
      <c r="DI21" s="51">
        <f>_xlfn.RANK.EQ(TabDH[[#This Row],[:7]],TabDH[[:1]:[:19]],0)</f>
        <v>172</v>
      </c>
      <c r="DJ21" s="51">
        <f>_xlfn.RANK.EQ(TabDH[[#This Row],[:8]],TabDH[[:1]:[:19]],0)</f>
        <v>172</v>
      </c>
      <c r="DK21" s="51">
        <f>_xlfn.RANK.EQ(TabDH[[#This Row],[:9]],TabDH[[:1]:[:19]],0)</f>
        <v>172</v>
      </c>
      <c r="DL21" s="51">
        <f>_xlfn.RANK.EQ(TabDH[[#This Row],[:10]],TabDH[[:1]:[:19]],0)</f>
        <v>172</v>
      </c>
      <c r="DM21" s="51">
        <f>_xlfn.RANK.EQ(TabDH[[#This Row],[:11]],TabDH[[:1]:[:19]],0)</f>
        <v>172</v>
      </c>
      <c r="DN21" s="51">
        <f>_xlfn.RANK.EQ(TabDH[[#This Row],[:12]],TabDH[[:1]:[:19]],0)</f>
        <v>172</v>
      </c>
      <c r="DO21" s="51">
        <f>_xlfn.RANK.EQ(TabDH[[#This Row],[:13]],TabDH[[:1]:[:19]],0)</f>
        <v>172</v>
      </c>
      <c r="DP21" s="51">
        <f>_xlfn.RANK.EQ(TabDH[[#This Row],[:14]],TabDH[[:1]:[:19]],0)</f>
        <v>172</v>
      </c>
      <c r="DQ21" s="51">
        <f>_xlfn.RANK.EQ(TabDH[[#This Row],[:15]],TabDH[[:1]:[:19]],0)</f>
        <v>172</v>
      </c>
      <c r="DR21" s="51">
        <f>_xlfn.RANK.EQ(TabDH[[#This Row],[:16]],TabDH[[:1]:[:19]],0)</f>
        <v>172</v>
      </c>
      <c r="DS21" s="51">
        <f>_xlfn.RANK.EQ(TabDH[[#This Row],[:17]],TabDH[[:1]:[:19]],0)</f>
        <v>172</v>
      </c>
      <c r="DT21" s="51">
        <f>_xlfn.RANK.EQ(TabDH[[#This Row],[:18]],TabDH[[:1]:[:19]],0)</f>
        <v>172</v>
      </c>
      <c r="DU21" s="52">
        <f>_xlfn.RANK.EQ(TabDH[[#This Row],[:19]],TabDH[[:1]:[:19]],0)</f>
        <v>172</v>
      </c>
      <c r="DV21" s="53" t="str">
        <f>IF(TabDH[[#This Row],[R1]]&lt;=Sitze_Ausschuss,IF(TabDH[[#This Row],[R1]]+COUNTIF(TabDH[[R1]:[R19]],TabDH[[#This Row],[R1]])-1&lt;=Sitze_Ausschuss,"SITZ","PATT"),"")</f>
        <v/>
      </c>
      <c r="DW21" s="54" t="str">
        <f>IF(TabDH[[#This Row],[R2]]&lt;=Sitze_Ausschuss,IF(TabDH[[#This Row],[R2]]+COUNTIF(TabDH[[R1]:[R19]],TabDH[[#This Row],[R2]])-1&lt;=Sitze_Ausschuss,"SITZ","PATT"),"")</f>
        <v/>
      </c>
      <c r="DX21" s="54" t="str">
        <f>IF(TabDH[[#This Row],[R3]]&lt;=Sitze_Ausschuss,IF(TabDH[[#This Row],[R3]]+COUNTIF(TabDH[[R1]:[R19]],TabDH[[#This Row],[R3]])-1&lt;=Sitze_Ausschuss,"SITZ","PATT"),"")</f>
        <v/>
      </c>
      <c r="DY21" s="54" t="str">
        <f>IF(TabDH[[#This Row],[R4]]&lt;=Sitze_Ausschuss,IF(TabDH[[#This Row],[R4]]+COUNTIF(TabDH[[R1]:[R19]],TabDH[[#This Row],[R4]])-1&lt;=Sitze_Ausschuss,"SITZ","PATT"),"")</f>
        <v/>
      </c>
      <c r="DZ21" s="54" t="str">
        <f>IF(TabDH[[#This Row],[R5]]&lt;=Sitze_Ausschuss,IF(TabDH[[#This Row],[R5]]+COUNTIF(TabDH[[R1]:[R19]],TabDH[[#This Row],[R5]])-1&lt;=Sitze_Ausschuss,"SITZ","PATT"),"")</f>
        <v/>
      </c>
      <c r="EA21" s="54" t="str">
        <f>IF(TabDH[[#This Row],[R6]]&lt;=Sitze_Ausschuss,IF(TabDH[[#This Row],[R6]]+COUNTIF(TabDH[[R1]:[R19]],TabDH[[#This Row],[R6]])-1&lt;=Sitze_Ausschuss,"SITZ","PATT"),"")</f>
        <v/>
      </c>
      <c r="EB21" s="54" t="str">
        <f>IF(TabDH[[#This Row],[R7]]&lt;=Sitze_Ausschuss,IF(TabDH[[#This Row],[R7]]+COUNTIF(TabDH[[R1]:[R19]],TabDH[[#This Row],[R7]])-1&lt;=Sitze_Ausschuss,"SITZ","PATT"),"")</f>
        <v/>
      </c>
      <c r="EC21" s="54" t="str">
        <f>IF(TabDH[[#This Row],[R8]]&lt;=Sitze_Ausschuss,IF(TabDH[[#This Row],[R8]]+COUNTIF(TabDH[[R1]:[R19]],TabDH[[#This Row],[R8]])-1&lt;=Sitze_Ausschuss,"SITZ","PATT"),"")</f>
        <v/>
      </c>
      <c r="ED21" s="54" t="str">
        <f>IF(TabDH[[#This Row],[R9]]&lt;=Sitze_Ausschuss,IF(TabDH[[#This Row],[R9]]+COUNTIF(TabDH[[R1]:[R19]],TabDH[[#This Row],[R9]])-1&lt;=Sitze_Ausschuss,"SITZ","PATT"),"")</f>
        <v/>
      </c>
      <c r="EE21" s="54" t="str">
        <f>IF(TabDH[[#This Row],[R10]]&lt;=Sitze_Ausschuss,IF(TabDH[[#This Row],[R10]]+COUNTIF(TabDH[[R1]:[R19]],TabDH[[#This Row],[R10]])-1&lt;=Sitze_Ausschuss,"SITZ","PATT"),"")</f>
        <v/>
      </c>
      <c r="EF21" s="54" t="str">
        <f>IF(TabDH[[#This Row],[R11]]&lt;=Sitze_Ausschuss,IF(TabDH[[#This Row],[R11]]+COUNTIF(TabDH[[R1]:[R19]],TabDH[[#This Row],[R11]])-1&lt;=Sitze_Ausschuss,"SITZ","PATT"),"")</f>
        <v/>
      </c>
      <c r="EG21" s="54" t="str">
        <f>IF(TabDH[[#This Row],[R12]]&lt;=Sitze_Ausschuss,IF(TabDH[[#This Row],[R12]]+COUNTIF(TabDH[[R1]:[R19]],TabDH[[#This Row],[R12]])-1&lt;=Sitze_Ausschuss,"SITZ","PATT"),"")</f>
        <v/>
      </c>
      <c r="EH21" s="54" t="str">
        <f>IF(TabDH[[#This Row],[R13]]&lt;=Sitze_Ausschuss,IF(TabDH[[#This Row],[R13]]+COUNTIF(TabDH[[R1]:[R19]],TabDH[[#This Row],[R13]])-1&lt;=Sitze_Ausschuss,"SITZ","PATT"),"")</f>
        <v/>
      </c>
      <c r="EI21" s="54" t="str">
        <f>IF(TabDH[[#This Row],[R14]]&lt;=Sitze_Ausschuss,IF(TabDH[[#This Row],[R14]]+COUNTIF(TabDH[[R1]:[R19]],TabDH[[#This Row],[R14]])-1&lt;=Sitze_Ausschuss,"SITZ","PATT"),"")</f>
        <v/>
      </c>
      <c r="EJ21" s="54" t="str">
        <f>IF(TabDH[[#This Row],[R15]]&lt;=Sitze_Ausschuss,IF(TabDH[[#This Row],[R15]]+COUNTIF(TabDH[[R1]:[R19]],TabDH[[#This Row],[R15]])-1&lt;=Sitze_Ausschuss,"SITZ","PATT"),"")</f>
        <v/>
      </c>
      <c r="EK21" s="54" t="str">
        <f>IF(TabDH[[#This Row],[R16]]&lt;=Sitze_Ausschuss,IF(TabDH[[#This Row],[R16]]+COUNTIF(TabDH[[R1]:[R19]],TabDH[[#This Row],[R16]])-1&lt;=Sitze_Ausschuss,"SITZ","PATT"),"")</f>
        <v/>
      </c>
      <c r="EL21" s="54" t="str">
        <f>IF(TabDH[[#This Row],[R17]]&lt;=Sitze_Ausschuss,IF(TabDH[[#This Row],[R17]]+COUNTIF(TabDH[[R1]:[R19]],TabDH[[#This Row],[R17]])-1&lt;=Sitze_Ausschuss,"SITZ","PATT"),"")</f>
        <v/>
      </c>
      <c r="EM21" s="54" t="str">
        <f>IF(TabDH[[#This Row],[R18]]&lt;=Sitze_Ausschuss,IF(TabDH[[#This Row],[R18]]+COUNTIF(TabDH[[R1]:[R19]],TabDH[[#This Row],[R18]])-1&lt;=Sitze_Ausschuss,"SITZ","PATT"),"")</f>
        <v/>
      </c>
      <c r="EN21" s="54" t="str">
        <f>IF(TabDH[[#This Row],[R19]]&lt;=Sitze_Ausschuss,IF(TabDH[[#This Row],[R19]]+COUNTIF(TabDH[[R1]:[R19]],TabDH[[#This Row],[R19]])-1&lt;=Sitze_Ausschuss,"SITZ","PATT"),"")</f>
        <v/>
      </c>
      <c r="EO21" s="56" t="b">
        <f>COUNTIF(TabDH[[#This Row],[SP1]:[SP19]],"PATT")&gt;0</f>
        <v>0</v>
      </c>
      <c r="EP21" s="42">
        <f>IF(TabDH[[#This Row],[Patt]],(Sitze_Ausschuss-SUM(TabDH[Sitze]))/TabDH[[#Totals],[Patt]],0)</f>
        <v>0</v>
      </c>
      <c r="EQ21" s="57">
        <f>TabDH[[#This Row],[Patt]]*IF(Pattaufloesung="Stimmen",TabPatt[[#This Row],[Stimmen]],TabPatt[[#This Row],[Loserfolg]])*1</f>
        <v>0</v>
      </c>
      <c r="ER21" s="58" t="b">
        <f>_xlfn.RANK.EQ(TabDH[[#This Row],[Stimmen/Gelost]],TabDH[Stimmen/Gelost],0)&lt;=(Sitze_Ausschuss-SUM(TabDH[Sitze]))</f>
        <v>1</v>
      </c>
      <c r="ES21" s="59" t="b">
        <f>OR(TabDH[[#This Row],[Sitze]]&lt;ROUNDDOWN(Grunddaten[[#This Row],[Proporzgenaue Zahl Ausschuss]],0),TabDH[[#This Row],[Sitze]]+(TabDH[[#This Row],[Patt]]*1)&gt;ROUNDUP(Grunddaten[[#This Row],[Proporzgenaue Zahl Ausschuss]],0))</f>
        <v>0</v>
      </c>
      <c r="ET21" s="3"/>
      <c r="EU21" s="60" t="str">
        <f>Grunddaten[[#This Row],[Partei/Wählergruppe]]&amp;""</f>
        <v>Ausschussgemeinschaft F</v>
      </c>
      <c r="EV21" s="85">
        <v>0</v>
      </c>
      <c r="EW21" s="66" t="b">
        <v>0</v>
      </c>
      <c r="EX21" s="3"/>
      <c r="EY21" s="3"/>
      <c r="EZ21" s="3"/>
      <c r="FA21" s="3"/>
      <c r="FB21" s="3"/>
    </row>
    <row r="22" spans="1:158" ht="15.75" thickBot="1" x14ac:dyDescent="0.3">
      <c r="A22" s="3"/>
      <c r="B22" s="127" t="s">
        <v>152</v>
      </c>
      <c r="C22" s="128">
        <f>SUBTOTAL(109,Grunddaten[Sitze im Hauptorgan])</f>
        <v>24</v>
      </c>
      <c r="D22" s="129">
        <f>SUBTOTAL(109,Grunddaten[Proporzgenaue Zahl Ausschuss])</f>
        <v>11.000000000000002</v>
      </c>
      <c r="E22" s="130" t="s">
        <v>153</v>
      </c>
      <c r="F22" s="131" t="s">
        <v>153</v>
      </c>
      <c r="G22" s="130" t="s">
        <v>153</v>
      </c>
      <c r="H22" s="132" t="s">
        <v>153</v>
      </c>
      <c r="I22" s="64"/>
      <c r="J22" s="69">
        <f>SUBTOTAL(109,TabHN[Sitze])</f>
        <v>9</v>
      </c>
      <c r="K22" s="70">
        <f>SUBTOTAL(109,TabHN[Patt Auflösung])</f>
        <v>2</v>
      </c>
      <c r="L22" s="71">
        <f>SUBTOTAL(109,TabHN[S ganz])</f>
        <v>6</v>
      </c>
      <c r="M22" s="71">
        <f>ROUND(SUM(TabHN[S Rest]),0)</f>
        <v>5</v>
      </c>
      <c r="N22" s="71"/>
      <c r="O22" s="71">
        <f>COUNTIF(TabHN[Patt],"=WAHR")*(-1)+SUM(TabHN[Restsitz])</f>
        <v>3</v>
      </c>
      <c r="P22" s="71">
        <f t="array" ref="P22">SUM(TabHN[Patt]*1)</f>
        <v>4</v>
      </c>
      <c r="Q22" s="71">
        <f>ROUND(SUM(TabHN[Los Chance]),0)</f>
        <v>2</v>
      </c>
      <c r="R22" s="71"/>
      <c r="S22" s="70"/>
      <c r="T22" s="65"/>
      <c r="U22" s="72">
        <f>SUBTOTAL(109,TabSLS[Sitze])</f>
        <v>9</v>
      </c>
      <c r="V22" s="73">
        <f>SUBTOTAL(109,TabSLS[Patt Auflösung])</f>
        <v>1.9999999999999998</v>
      </c>
      <c r="W22" s="74"/>
      <c r="X22" s="75"/>
      <c r="Y22" s="75"/>
      <c r="Z22" s="75"/>
      <c r="AA22" s="75"/>
      <c r="AB22" s="75"/>
      <c r="AC22" s="75"/>
      <c r="AD22" s="75"/>
      <c r="AE22" s="75"/>
      <c r="AF22" s="75"/>
      <c r="AG22" s="75"/>
      <c r="AH22" s="75"/>
      <c r="AI22" s="75"/>
      <c r="AJ22" s="75"/>
      <c r="AK22" s="75"/>
      <c r="AL22" s="75"/>
      <c r="AM22" s="75"/>
      <c r="AN22" s="75"/>
      <c r="AO22" s="76"/>
      <c r="AP22" s="74"/>
      <c r="AQ22" s="75"/>
      <c r="AR22" s="75"/>
      <c r="AS22" s="75"/>
      <c r="AT22" s="75"/>
      <c r="AU22" s="75"/>
      <c r="AV22" s="75"/>
      <c r="AW22" s="75"/>
      <c r="AX22" s="75"/>
      <c r="AY22" s="75"/>
      <c r="AZ22" s="75"/>
      <c r="BA22" s="75"/>
      <c r="BB22" s="75"/>
      <c r="BC22" s="75"/>
      <c r="BD22" s="75"/>
      <c r="BE22" s="75"/>
      <c r="BF22" s="75"/>
      <c r="BG22" s="75"/>
      <c r="BH22" s="76"/>
      <c r="BI22" s="77"/>
      <c r="BJ22" s="78"/>
      <c r="BK22" s="78"/>
      <c r="BL22" s="78"/>
      <c r="BM22" s="78"/>
      <c r="BN22" s="78"/>
      <c r="BO22" s="78"/>
      <c r="BP22" s="78"/>
      <c r="BQ22" s="78"/>
      <c r="BR22" s="78"/>
      <c r="BS22" s="78"/>
      <c r="BT22" s="78"/>
      <c r="BU22" s="78"/>
      <c r="BV22" s="78"/>
      <c r="BW22" s="78"/>
      <c r="BX22" s="78"/>
      <c r="BY22" s="78"/>
      <c r="BZ22" s="78"/>
      <c r="CA22" s="79"/>
      <c r="CB22" s="74">
        <f t="array" ref="CB22">SUM(TabSLS[Patt?]*1)</f>
        <v>6</v>
      </c>
      <c r="CC22" s="75">
        <f>ROUND(SUM(TabSLS[Los Chance]),0)</f>
        <v>2</v>
      </c>
      <c r="CD22" s="75"/>
      <c r="CE22" s="76"/>
      <c r="CF22" s="80">
        <f>SUBTOTAL(103,TabSLS[QK verletzt])</f>
        <v>15</v>
      </c>
      <c r="CG22" s="3"/>
      <c r="CH22" s="72">
        <f>SUBTOTAL(109,TabDH[Sitze])</f>
        <v>10</v>
      </c>
      <c r="CI22" s="73">
        <f>SUBTOTAL(109,TabDH[Patt Auflösung])</f>
        <v>1</v>
      </c>
      <c r="CJ22" s="74"/>
      <c r="CK22" s="75"/>
      <c r="CL22" s="75"/>
      <c r="CM22" s="75"/>
      <c r="CN22" s="75"/>
      <c r="CO22" s="75"/>
      <c r="CP22" s="75"/>
      <c r="CQ22" s="75"/>
      <c r="CR22" s="75"/>
      <c r="CS22" s="75"/>
      <c r="CT22" s="75"/>
      <c r="CU22" s="75"/>
      <c r="CV22" s="75"/>
      <c r="CW22" s="75"/>
      <c r="CX22" s="75"/>
      <c r="CY22" s="75"/>
      <c r="CZ22" s="75"/>
      <c r="DA22" s="75"/>
      <c r="DB22" s="76"/>
      <c r="DC22" s="74"/>
      <c r="DD22" s="75"/>
      <c r="DE22" s="75"/>
      <c r="DF22" s="75"/>
      <c r="DG22" s="75"/>
      <c r="DH22" s="75"/>
      <c r="DI22" s="75"/>
      <c r="DJ22" s="75"/>
      <c r="DK22" s="75"/>
      <c r="DL22" s="75"/>
      <c r="DM22" s="75"/>
      <c r="DN22" s="75"/>
      <c r="DO22" s="75"/>
      <c r="DP22" s="75"/>
      <c r="DQ22" s="75"/>
      <c r="DR22" s="75"/>
      <c r="DS22" s="75"/>
      <c r="DT22" s="75"/>
      <c r="DU22" s="76"/>
      <c r="DV22" s="77"/>
      <c r="DW22" s="78"/>
      <c r="DX22" s="78"/>
      <c r="DY22" s="78"/>
      <c r="DZ22" s="78"/>
      <c r="EA22" s="78"/>
      <c r="EB22" s="78"/>
      <c r="EC22" s="78"/>
      <c r="ED22" s="78"/>
      <c r="EE22" s="78"/>
      <c r="EF22" s="78"/>
      <c r="EG22" s="78"/>
      <c r="EH22" s="78"/>
      <c r="EI22" s="78"/>
      <c r="EJ22" s="78"/>
      <c r="EK22" s="78"/>
      <c r="EL22" s="78"/>
      <c r="EM22" s="78"/>
      <c r="EN22" s="78"/>
      <c r="EO22" s="74">
        <f t="array" ref="EO22">SUM(TabDH[Patt]*1)</f>
        <v>2</v>
      </c>
      <c r="EP22" s="75">
        <f>ROUND(SUM(TabDH[Los Chance]),0)</f>
        <v>1</v>
      </c>
      <c r="EQ22" s="75"/>
      <c r="ER22" s="76"/>
      <c r="ES22" s="80">
        <f>SUBTOTAL(103,TabDH[QK verletzt])</f>
        <v>15</v>
      </c>
      <c r="ET22" s="3"/>
      <c r="EU22" s="134" t="s">
        <v>153</v>
      </c>
      <c r="EV22" s="135">
        <f>SUBTOTAL(109,TabPatt[Stimmen])</f>
        <v>27400</v>
      </c>
      <c r="EW22" s="136" t="s">
        <v>153</v>
      </c>
      <c r="EX22" s="3"/>
      <c r="EY22" s="3"/>
      <c r="EZ22" s="3"/>
      <c r="FA22" s="3"/>
      <c r="FB22" s="3"/>
    </row>
    <row r="23" spans="1:158" x14ac:dyDescent="0.25">
      <c r="A23" s="3"/>
      <c r="B23" s="3"/>
      <c r="C23" s="3"/>
      <c r="D23" s="3"/>
      <c r="E23" s="3"/>
      <c r="F23" s="3"/>
      <c r="G23" s="3"/>
      <c r="H23" s="3"/>
      <c r="I23" s="64"/>
      <c r="J23" s="3"/>
      <c r="K23" s="3"/>
      <c r="L23" s="3"/>
      <c r="M23" s="3"/>
      <c r="N23" s="3"/>
      <c r="O23" s="3"/>
      <c r="P23" s="65"/>
      <c r="Q23" s="65"/>
      <c r="R23" s="65"/>
      <c r="S23" s="65"/>
      <c r="T23" s="65"/>
      <c r="U23" s="65"/>
      <c r="V23" s="65"/>
      <c r="W23" s="3"/>
      <c r="X23" s="3"/>
      <c r="Y23" s="3"/>
      <c r="Z23" s="3"/>
      <c r="AA23" s="3"/>
      <c r="AB23" s="3"/>
      <c r="AC23" s="3"/>
      <c r="AD23" s="3"/>
      <c r="AE23" s="3"/>
      <c r="AF23" s="3"/>
      <c r="AG23" s="3"/>
      <c r="AH23" s="3"/>
      <c r="AI23" s="3"/>
      <c r="AJ23" s="3"/>
      <c r="AK23" s="3"/>
      <c r="AL23" s="3"/>
      <c r="AM23" s="3"/>
      <c r="AN23" s="3"/>
      <c r="AO23" s="3"/>
      <c r="AP23" s="3"/>
      <c r="AQ23" s="3"/>
      <c r="AR23" s="3"/>
      <c r="AS23" s="3"/>
      <c r="AT23" s="3"/>
      <c r="AU23" s="3"/>
      <c r="AV23" s="3"/>
      <c r="AW23" s="3"/>
      <c r="AX23" s="3"/>
      <c r="AY23" s="3"/>
      <c r="AZ23" s="3"/>
      <c r="BA23" s="3"/>
      <c r="BB23" s="3"/>
      <c r="BC23" s="3"/>
      <c r="BD23" s="3"/>
      <c r="BE23" s="3"/>
      <c r="BF23" s="3"/>
      <c r="BG23" s="3"/>
      <c r="BH23" s="3"/>
      <c r="BI23" s="3"/>
      <c r="BJ23" s="3"/>
      <c r="BK23" s="3"/>
      <c r="BL23" s="3"/>
      <c r="BM23" s="3"/>
      <c r="BN23" s="3"/>
      <c r="BO23" s="3"/>
      <c r="BP23" s="3"/>
      <c r="BQ23" s="3"/>
      <c r="BR23" s="3"/>
      <c r="BS23" s="3"/>
      <c r="BT23" s="3"/>
      <c r="BU23" s="3"/>
      <c r="BV23" s="3"/>
      <c r="BW23" s="3"/>
      <c r="BX23" s="3"/>
      <c r="BY23" s="3"/>
      <c r="BZ23" s="3"/>
      <c r="CA23" s="3"/>
      <c r="CB23" s="3"/>
      <c r="CC23" s="3"/>
      <c r="CD23" s="3"/>
      <c r="CE23" s="3"/>
      <c r="CF23" s="3"/>
      <c r="CG23" s="3"/>
      <c r="CH23" s="3"/>
      <c r="CI23" s="3"/>
      <c r="CJ23" s="3"/>
      <c r="CK23" s="3"/>
      <c r="CL23" s="3"/>
      <c r="CM23" s="3"/>
      <c r="CN23" s="3"/>
      <c r="CO23" s="3"/>
      <c r="CP23" s="3"/>
      <c r="CQ23" s="3"/>
      <c r="CR23" s="3"/>
      <c r="CS23" s="3"/>
      <c r="CT23" s="3"/>
      <c r="CU23" s="3"/>
      <c r="CV23" s="3"/>
      <c r="CW23" s="3"/>
      <c r="CX23" s="3"/>
      <c r="CY23" s="3"/>
      <c r="CZ23" s="3"/>
      <c r="DA23" s="3"/>
      <c r="DB23" s="3"/>
      <c r="DC23" s="3"/>
      <c r="DD23" s="3"/>
      <c r="DE23" s="3"/>
      <c r="DF23" s="3"/>
      <c r="DG23" s="3"/>
      <c r="DH23" s="3"/>
      <c r="DI23" s="3"/>
      <c r="DJ23" s="3"/>
      <c r="DK23" s="3"/>
      <c r="DL23" s="3"/>
      <c r="DM23" s="3"/>
      <c r="DN23" s="3"/>
      <c r="DO23" s="3"/>
      <c r="DP23" s="3"/>
      <c r="DQ23" s="3"/>
      <c r="DR23" s="3"/>
      <c r="DS23" s="3"/>
      <c r="DT23" s="3"/>
      <c r="DU23" s="3"/>
      <c r="DV23" s="3"/>
      <c r="DW23" s="3"/>
      <c r="DX23" s="3"/>
      <c r="DY23" s="3"/>
      <c r="DZ23" s="3"/>
      <c r="EA23" s="3"/>
      <c r="EB23" s="3"/>
      <c r="EC23" s="3"/>
      <c r="ED23" s="3"/>
      <c r="EE23" s="3"/>
      <c r="EF23" s="3"/>
      <c r="EG23" s="3"/>
      <c r="EH23" s="3"/>
      <c r="EI23" s="3"/>
      <c r="EJ23" s="3"/>
      <c r="EK23" s="3"/>
      <c r="EL23" s="3"/>
      <c r="EM23" s="3"/>
      <c r="EN23" s="3"/>
      <c r="EO23" s="3"/>
      <c r="EP23" s="3"/>
      <c r="EQ23" s="3"/>
      <c r="ER23" s="3"/>
      <c r="ES23" s="3"/>
      <c r="ET23" s="3"/>
      <c r="EU23" s="3"/>
      <c r="EV23" s="3"/>
      <c r="EW23" s="5"/>
      <c r="EX23" s="3"/>
      <c r="EY23" s="3"/>
      <c r="EZ23" s="3"/>
      <c r="FA23" s="3"/>
      <c r="FB23" s="3"/>
    </row>
    <row r="24" spans="1:158" x14ac:dyDescent="0.25">
      <c r="A24" s="3"/>
      <c r="B24" s="105" t="s">
        <v>165</v>
      </c>
      <c r="C24" s="106"/>
      <c r="D24" s="104" t="s">
        <v>157</v>
      </c>
      <c r="E24" s="104"/>
      <c r="F24" s="104"/>
      <c r="G24" s="104"/>
      <c r="H24" s="104"/>
      <c r="I24" s="104"/>
      <c r="J24" s="104"/>
      <c r="K24" s="104"/>
      <c r="L24" s="104"/>
      <c r="M24" s="104"/>
      <c r="N24" s="104"/>
      <c r="O24" s="104"/>
      <c r="P24" s="104"/>
      <c r="Q24" s="104"/>
      <c r="R24" s="104"/>
      <c r="S24" s="104"/>
      <c r="T24" s="104"/>
      <c r="U24" s="104"/>
      <c r="V24" s="104"/>
      <c r="W24" s="104"/>
      <c r="X24" s="104"/>
      <c r="Y24" s="104"/>
      <c r="Z24" s="104"/>
      <c r="AA24" s="104"/>
      <c r="AB24" s="104"/>
      <c r="AC24" s="104"/>
      <c r="AD24" s="104"/>
      <c r="AE24" s="104"/>
      <c r="AF24" s="104"/>
      <c r="AG24" s="104"/>
      <c r="AH24" s="104"/>
      <c r="AI24" s="104"/>
      <c r="AJ24" s="104"/>
      <c r="AK24" s="104"/>
      <c r="AL24" s="104"/>
      <c r="AM24" s="104"/>
      <c r="AN24" s="104"/>
      <c r="AO24" s="104"/>
      <c r="AP24" s="104"/>
      <c r="AQ24" s="104"/>
      <c r="AR24" s="104"/>
      <c r="AS24" s="104"/>
      <c r="AT24" s="104"/>
      <c r="AU24" s="104"/>
      <c r="AV24" s="104"/>
      <c r="AW24" s="104"/>
      <c r="AX24" s="104"/>
      <c r="AY24" s="104"/>
      <c r="AZ24" s="104"/>
      <c r="BA24" s="104"/>
      <c r="BB24" s="104"/>
      <c r="BC24" s="104"/>
      <c r="BD24" s="104"/>
      <c r="BE24" s="104"/>
      <c r="BF24" s="104"/>
      <c r="BG24" s="104"/>
      <c r="BH24" s="104"/>
      <c r="BI24" s="104"/>
      <c r="BJ24" s="104"/>
      <c r="BK24" s="104"/>
      <c r="BL24" s="104"/>
      <c r="BM24" s="104"/>
      <c r="BN24" s="104"/>
      <c r="BO24" s="104"/>
      <c r="BP24" s="104"/>
      <c r="BQ24" s="104"/>
      <c r="BR24" s="104"/>
      <c r="BS24" s="104"/>
      <c r="BT24" s="104"/>
      <c r="BU24" s="104"/>
      <c r="BV24" s="104"/>
      <c r="BW24" s="104"/>
      <c r="BX24" s="104"/>
      <c r="BY24" s="104"/>
      <c r="BZ24" s="104"/>
      <c r="CA24" s="104"/>
      <c r="CB24" s="104"/>
      <c r="CC24" s="104"/>
      <c r="CD24" s="104"/>
      <c r="CE24" s="104"/>
      <c r="CF24" s="104"/>
      <c r="CG24" s="104"/>
      <c r="CH24" s="104"/>
      <c r="CI24" s="104"/>
      <c r="CJ24" s="104"/>
      <c r="CK24" s="104"/>
      <c r="CL24" s="104"/>
      <c r="CM24" s="104"/>
      <c r="CN24" s="104"/>
      <c r="CO24" s="104"/>
      <c r="CP24" s="104"/>
      <c r="CQ24" s="104"/>
      <c r="CR24" s="104"/>
      <c r="CS24" s="104"/>
      <c r="CT24" s="104"/>
      <c r="CU24" s="104"/>
      <c r="CV24" s="104"/>
      <c r="CW24" s="104"/>
      <c r="CX24" s="104"/>
      <c r="CY24" s="104"/>
      <c r="CZ24" s="104"/>
      <c r="DA24" s="104"/>
      <c r="DB24" s="104"/>
      <c r="DC24" s="104"/>
      <c r="DD24" s="104"/>
      <c r="DE24" s="104"/>
      <c r="DF24" s="104"/>
      <c r="DG24" s="104"/>
      <c r="DH24" s="104"/>
      <c r="DI24" s="104"/>
      <c r="DJ24" s="104"/>
      <c r="DK24" s="104"/>
      <c r="DL24" s="104"/>
      <c r="DM24" s="104"/>
      <c r="DN24" s="104"/>
      <c r="DO24" s="104"/>
      <c r="DP24" s="104"/>
      <c r="DQ24" s="104"/>
      <c r="DR24" s="104"/>
      <c r="DS24" s="104"/>
      <c r="DT24" s="104"/>
      <c r="DU24" s="104"/>
      <c r="DV24" s="104"/>
      <c r="DW24" s="104"/>
      <c r="DX24" s="104"/>
      <c r="DY24" s="104"/>
      <c r="DZ24" s="104"/>
      <c r="EA24" s="104"/>
      <c r="EB24" s="104"/>
      <c r="EC24" s="104"/>
      <c r="ED24" s="104"/>
      <c r="EE24" s="104"/>
      <c r="EF24" s="104"/>
      <c r="EG24" s="104"/>
      <c r="EH24" s="104"/>
      <c r="EI24" s="104"/>
      <c r="EJ24" s="104"/>
      <c r="EK24" s="104"/>
      <c r="EL24" s="104"/>
      <c r="EM24" s="104"/>
      <c r="EN24" s="104"/>
      <c r="EO24" s="104"/>
      <c r="EP24" s="104"/>
      <c r="EQ24" s="104"/>
      <c r="ER24" s="104"/>
      <c r="ES24" s="104"/>
      <c r="ET24" s="104"/>
      <c r="EU24" s="104"/>
      <c r="EV24" s="96" t="s">
        <v>159</v>
      </c>
      <c r="EW24" s="97" t="s">
        <v>164</v>
      </c>
      <c r="EX24" s="3"/>
      <c r="EY24" s="3"/>
      <c r="EZ24" s="3"/>
      <c r="FA24" s="3"/>
      <c r="FB24" s="3"/>
    </row>
    <row r="25" spans="1:158" s="119" customFormat="1" x14ac:dyDescent="0.25">
      <c r="B25" s="3"/>
      <c r="C25" s="3"/>
      <c r="D25" s="3"/>
      <c r="E25" s="3"/>
      <c r="F25" s="3"/>
      <c r="G25" s="3"/>
      <c r="H25" s="3"/>
      <c r="J25" s="3"/>
      <c r="K25" s="3"/>
      <c r="L25" s="3"/>
      <c r="M25" s="3"/>
      <c r="N25" s="3"/>
      <c r="O25" s="3"/>
      <c r="P25" s="65"/>
      <c r="Q25" s="65"/>
      <c r="R25" s="65"/>
      <c r="S25" s="65"/>
      <c r="U25" s="65"/>
      <c r="V25" s="65"/>
      <c r="W25" s="3"/>
      <c r="X25" s="3"/>
      <c r="Y25" s="3"/>
      <c r="Z25" s="3"/>
      <c r="AA25" s="3"/>
      <c r="AB25" s="3"/>
      <c r="AC25" s="3"/>
      <c r="AD25" s="3"/>
      <c r="AE25" s="3"/>
      <c r="AF25" s="3"/>
      <c r="AG25" s="3"/>
      <c r="AH25" s="3"/>
      <c r="AI25" s="3"/>
      <c r="AJ25" s="3"/>
      <c r="AK25" s="3"/>
      <c r="AL25" s="3"/>
      <c r="AM25" s="3"/>
      <c r="AN25" s="3"/>
      <c r="AO25" s="3"/>
      <c r="AP25" s="3"/>
      <c r="AQ25" s="3"/>
      <c r="AR25" s="3"/>
      <c r="AS25" s="3"/>
      <c r="AT25" s="3"/>
      <c r="AU25" s="3"/>
      <c r="AV25" s="3"/>
      <c r="AW25" s="3"/>
      <c r="AX25" s="3"/>
      <c r="AY25" s="3"/>
      <c r="AZ25" s="3"/>
      <c r="BA25" s="3"/>
      <c r="BB25" s="3"/>
      <c r="BC25" s="3"/>
      <c r="BD25" s="3"/>
      <c r="BE25" s="3"/>
      <c r="BF25" s="3"/>
      <c r="BG25" s="3"/>
      <c r="BH25" s="3"/>
      <c r="BI25" s="3"/>
      <c r="BJ25" s="3"/>
      <c r="BK25" s="3"/>
      <c r="BL25" s="3"/>
      <c r="BM25" s="3"/>
      <c r="BN25" s="3"/>
      <c r="BO25" s="3"/>
      <c r="BP25" s="3"/>
      <c r="BQ25" s="3"/>
      <c r="BR25" s="3"/>
      <c r="BS25" s="3"/>
      <c r="BT25" s="3"/>
      <c r="BU25" s="3"/>
      <c r="BV25" s="3"/>
      <c r="BW25" s="3"/>
      <c r="BX25" s="3"/>
      <c r="BY25" s="3"/>
      <c r="BZ25" s="3"/>
      <c r="CA25" s="3"/>
      <c r="CB25" s="3"/>
      <c r="CC25" s="3"/>
      <c r="CD25" s="3"/>
      <c r="CE25" s="3"/>
      <c r="CF25" s="3"/>
      <c r="CH25" s="3"/>
      <c r="CI25" s="3"/>
      <c r="CJ25" s="3"/>
      <c r="CK25" s="3"/>
      <c r="CL25" s="3"/>
      <c r="CM25" s="3"/>
      <c r="CN25" s="3"/>
      <c r="CO25" s="3"/>
      <c r="CP25" s="3"/>
      <c r="CQ25" s="3"/>
      <c r="CR25" s="3"/>
      <c r="CS25" s="3"/>
      <c r="CT25" s="3"/>
      <c r="CU25" s="3"/>
      <c r="CV25" s="3"/>
      <c r="CW25" s="3"/>
      <c r="CX25" s="3"/>
      <c r="CY25" s="3"/>
      <c r="CZ25" s="3"/>
      <c r="DA25" s="3"/>
      <c r="DB25" s="3"/>
      <c r="DC25" s="3"/>
      <c r="DD25" s="3"/>
      <c r="DE25" s="3"/>
      <c r="DF25" s="3"/>
      <c r="DG25" s="3"/>
      <c r="DH25" s="3"/>
      <c r="DI25" s="3"/>
      <c r="DJ25" s="3"/>
      <c r="DK25" s="3"/>
      <c r="DL25" s="3"/>
      <c r="DM25" s="3"/>
      <c r="DN25" s="3"/>
      <c r="DO25" s="3"/>
      <c r="DP25" s="3"/>
      <c r="DQ25" s="3"/>
      <c r="DR25" s="3"/>
      <c r="DS25" s="3"/>
      <c r="DT25" s="3"/>
      <c r="DU25" s="3"/>
      <c r="DV25" s="3"/>
      <c r="DW25" s="3"/>
      <c r="DX25" s="3"/>
      <c r="DY25" s="3"/>
      <c r="DZ25" s="3"/>
      <c r="EA25" s="3"/>
      <c r="EB25" s="3"/>
      <c r="EC25" s="3"/>
      <c r="ED25" s="3"/>
      <c r="EE25" s="3"/>
      <c r="EF25" s="3"/>
      <c r="EG25" s="3"/>
      <c r="EH25" s="3"/>
      <c r="EI25" s="3"/>
      <c r="EJ25" s="3"/>
      <c r="EK25" s="3"/>
      <c r="EL25" s="3"/>
      <c r="EM25" s="3"/>
      <c r="EN25" s="3"/>
      <c r="EO25" s="3"/>
      <c r="EP25" s="3"/>
      <c r="EQ25" s="3"/>
      <c r="ER25" s="3"/>
      <c r="ES25" s="3"/>
      <c r="EU25" s="3"/>
      <c r="EV25" s="3"/>
      <c r="EW25" s="5"/>
    </row>
    <row r="26" spans="1:158" x14ac:dyDescent="0.25">
      <c r="A26" s="3"/>
      <c r="B26" s="3"/>
      <c r="C26" s="3"/>
      <c r="D26" s="3"/>
      <c r="E26" s="3"/>
      <c r="F26" s="3"/>
      <c r="G26" s="3"/>
      <c r="H26" s="3"/>
      <c r="I26" s="64"/>
      <c r="J26" s="3"/>
      <c r="K26" s="3"/>
      <c r="L26" s="3"/>
      <c r="M26" s="3"/>
      <c r="N26" s="3"/>
      <c r="O26" s="3"/>
      <c r="P26" s="65"/>
      <c r="Q26" s="65"/>
      <c r="R26" s="65"/>
      <c r="S26" s="65"/>
      <c r="T26" s="65"/>
      <c r="U26" s="65"/>
      <c r="V26" s="65"/>
      <c r="W26" s="3"/>
      <c r="X26" s="3"/>
      <c r="Y26" s="3"/>
      <c r="Z26" s="3"/>
      <c r="AA26" s="3"/>
      <c r="AB26" s="3"/>
      <c r="AC26" s="3"/>
      <c r="AD26" s="3"/>
      <c r="AE26" s="3"/>
      <c r="AF26" s="3"/>
      <c r="AG26" s="3"/>
      <c r="AH26" s="3"/>
      <c r="AI26" s="3"/>
      <c r="AJ26" s="3"/>
      <c r="AK26" s="3"/>
      <c r="AL26" s="3"/>
      <c r="AM26" s="3"/>
      <c r="AN26" s="3"/>
      <c r="AO26" s="3"/>
      <c r="AP26" s="3"/>
      <c r="AQ26" s="3"/>
      <c r="AR26" s="3"/>
      <c r="AS26" s="3"/>
      <c r="AT26" s="3"/>
      <c r="AU26" s="3"/>
      <c r="AV26" s="3"/>
      <c r="AW26" s="3"/>
      <c r="AX26" s="3"/>
      <c r="AY26" s="3"/>
      <c r="AZ26" s="3"/>
      <c r="BA26" s="3"/>
      <c r="BB26" s="3"/>
      <c r="BC26" s="3"/>
      <c r="BD26" s="3"/>
      <c r="BE26" s="3"/>
      <c r="BF26" s="3"/>
      <c r="BG26" s="3"/>
      <c r="BH26" s="3"/>
      <c r="BI26" s="3"/>
      <c r="BJ26" s="3"/>
      <c r="BK26" s="3"/>
      <c r="BL26" s="3"/>
      <c r="BM26" s="3"/>
      <c r="BN26" s="3"/>
      <c r="BO26" s="3"/>
      <c r="BP26" s="3"/>
      <c r="BQ26" s="3"/>
      <c r="BR26" s="3"/>
      <c r="BS26" s="3"/>
      <c r="BT26" s="3"/>
      <c r="BU26" s="3"/>
      <c r="BV26" s="3"/>
      <c r="BW26" s="3"/>
      <c r="BX26" s="3"/>
      <c r="BY26" s="3"/>
      <c r="BZ26" s="3"/>
      <c r="CA26" s="3"/>
      <c r="CB26" s="3"/>
      <c r="CC26" s="3"/>
      <c r="CD26" s="3"/>
      <c r="CE26" s="3"/>
      <c r="CF26" s="3"/>
      <c r="CG26" s="3"/>
      <c r="CH26" s="3"/>
      <c r="CI26" s="3"/>
      <c r="CJ26" s="3"/>
      <c r="CK26" s="3"/>
      <c r="CL26" s="3"/>
      <c r="CM26" s="3"/>
      <c r="CN26" s="3"/>
      <c r="CO26" s="3"/>
      <c r="CP26" s="3"/>
      <c r="CQ26" s="3"/>
      <c r="CR26" s="3"/>
      <c r="CS26" s="3"/>
      <c r="CT26" s="3"/>
      <c r="CU26" s="3"/>
      <c r="CV26" s="3"/>
      <c r="CW26" s="3"/>
      <c r="CX26" s="3"/>
      <c r="CY26" s="3"/>
      <c r="CZ26" s="3"/>
      <c r="DA26" s="3"/>
      <c r="DB26" s="3"/>
      <c r="DC26" s="3"/>
      <c r="DD26" s="3"/>
      <c r="DE26" s="3"/>
      <c r="DF26" s="3"/>
      <c r="DG26" s="3"/>
      <c r="DH26" s="3"/>
      <c r="DI26" s="3"/>
      <c r="DJ26" s="3"/>
      <c r="DK26" s="3"/>
      <c r="DL26" s="3"/>
      <c r="DM26" s="3"/>
      <c r="DN26" s="3"/>
      <c r="DO26" s="3"/>
      <c r="DP26" s="3"/>
      <c r="DQ26" s="3"/>
      <c r="DR26" s="3"/>
      <c r="DS26" s="3"/>
      <c r="DT26" s="3"/>
      <c r="DU26" s="3"/>
      <c r="DV26" s="3"/>
      <c r="DW26" s="3"/>
      <c r="DX26" s="3"/>
      <c r="DY26" s="3"/>
      <c r="DZ26" s="3"/>
      <c r="EA26" s="3"/>
      <c r="EB26" s="3"/>
      <c r="EC26" s="3"/>
      <c r="ED26" s="3"/>
      <c r="EE26" s="3"/>
      <c r="EF26" s="3"/>
      <c r="EG26" s="3"/>
      <c r="EH26" s="3"/>
      <c r="EI26" s="3"/>
      <c r="EJ26" s="3"/>
      <c r="EK26" s="3"/>
      <c r="EL26" s="3"/>
      <c r="EM26" s="3"/>
      <c r="EN26" s="3"/>
      <c r="EO26" s="3"/>
      <c r="EP26" s="3"/>
      <c r="EQ26" s="3"/>
      <c r="ER26" s="3"/>
      <c r="ES26" s="3"/>
      <c r="ET26" s="3"/>
      <c r="EU26" s="3"/>
      <c r="EV26" s="3"/>
      <c r="EW26" s="3"/>
      <c r="EX26" s="3"/>
      <c r="EY26" s="3"/>
      <c r="EZ26" s="3"/>
      <c r="FA26" s="3"/>
      <c r="FB26" s="3"/>
    </row>
    <row r="27" spans="1:158" x14ac:dyDescent="0.25">
      <c r="A27" s="3"/>
      <c r="B27" s="119"/>
      <c r="C27" s="119"/>
      <c r="D27" s="119"/>
      <c r="E27" s="119"/>
      <c r="F27" s="119"/>
      <c r="G27" s="119"/>
      <c r="H27" s="119"/>
      <c r="I27" s="64"/>
      <c r="J27" s="119"/>
      <c r="K27" s="119"/>
      <c r="L27" s="119"/>
      <c r="M27" s="119"/>
      <c r="N27" s="119"/>
      <c r="O27" s="119"/>
      <c r="P27" s="119"/>
      <c r="Q27" s="119"/>
      <c r="R27" s="119"/>
      <c r="S27" s="119"/>
      <c r="T27" s="3"/>
      <c r="U27" s="119"/>
      <c r="V27" s="119"/>
      <c r="W27" s="119"/>
      <c r="X27" s="119"/>
      <c r="Y27" s="119"/>
      <c r="Z27" s="119"/>
      <c r="AA27" s="119"/>
      <c r="AB27" s="119"/>
      <c r="AC27" s="119"/>
      <c r="AD27" s="119"/>
      <c r="AE27" s="119"/>
      <c r="AF27" s="119"/>
      <c r="AG27" s="119"/>
      <c r="AH27" s="119"/>
      <c r="AI27" s="119"/>
      <c r="AJ27" s="119"/>
      <c r="AK27" s="119"/>
      <c r="AL27" s="119"/>
      <c r="AM27" s="119"/>
      <c r="AN27" s="119"/>
      <c r="AO27" s="119"/>
      <c r="AP27" s="119"/>
      <c r="AQ27" s="119"/>
      <c r="AR27" s="119"/>
      <c r="AS27" s="119"/>
      <c r="AT27" s="119"/>
      <c r="AU27" s="119"/>
      <c r="AV27" s="119"/>
      <c r="AW27" s="119"/>
      <c r="AX27" s="119"/>
      <c r="AY27" s="119"/>
      <c r="AZ27" s="119"/>
      <c r="BA27" s="119"/>
      <c r="BB27" s="119"/>
      <c r="BC27" s="119"/>
      <c r="BD27" s="119"/>
      <c r="BE27" s="119"/>
      <c r="BF27" s="119"/>
      <c r="BG27" s="119"/>
      <c r="BH27" s="119"/>
      <c r="BI27" s="119"/>
      <c r="BJ27" s="119"/>
      <c r="BK27" s="119"/>
      <c r="BL27" s="119"/>
      <c r="BM27" s="119"/>
      <c r="BN27" s="119"/>
      <c r="BO27" s="119"/>
      <c r="BP27" s="119"/>
      <c r="BQ27" s="119"/>
      <c r="BR27" s="119"/>
      <c r="BS27" s="119"/>
      <c r="BT27" s="119"/>
      <c r="BU27" s="119"/>
      <c r="BV27" s="119"/>
      <c r="BW27" s="119"/>
      <c r="BX27" s="119"/>
      <c r="BY27" s="119"/>
      <c r="BZ27" s="119"/>
      <c r="CA27" s="119"/>
      <c r="CB27" s="119"/>
      <c r="CC27" s="119"/>
      <c r="CD27" s="119"/>
      <c r="CE27" s="119"/>
      <c r="CF27" s="119"/>
      <c r="CG27" s="3"/>
      <c r="CH27" s="119"/>
      <c r="CI27" s="119"/>
      <c r="CJ27" s="119"/>
      <c r="CK27" s="119"/>
      <c r="CL27" s="119"/>
      <c r="CM27" s="119"/>
      <c r="CN27" s="119"/>
      <c r="CO27" s="119"/>
      <c r="CP27" s="119"/>
      <c r="CQ27" s="119"/>
      <c r="CR27" s="119"/>
      <c r="CS27" s="119"/>
      <c r="CT27" s="119"/>
      <c r="CU27" s="119"/>
      <c r="CV27" s="119"/>
      <c r="CW27" s="119"/>
      <c r="CX27" s="119"/>
      <c r="CY27" s="119"/>
      <c r="CZ27" s="119"/>
      <c r="DA27" s="119"/>
      <c r="DB27" s="119"/>
      <c r="DC27" s="119"/>
      <c r="DD27" s="119"/>
      <c r="DE27" s="119"/>
      <c r="DF27" s="119"/>
      <c r="DG27" s="119"/>
      <c r="DH27" s="119"/>
      <c r="DI27" s="119"/>
      <c r="DJ27" s="119"/>
      <c r="DK27" s="119"/>
      <c r="DL27" s="119"/>
      <c r="DM27" s="119"/>
      <c r="DN27" s="119"/>
      <c r="DO27" s="119"/>
      <c r="DP27" s="119"/>
      <c r="DQ27" s="119"/>
      <c r="DR27" s="119"/>
      <c r="DS27" s="119"/>
      <c r="DT27" s="119"/>
      <c r="DU27" s="119"/>
      <c r="DV27" s="119"/>
      <c r="DW27" s="119"/>
      <c r="DX27" s="119"/>
      <c r="DY27" s="119"/>
      <c r="DZ27" s="119"/>
      <c r="EA27" s="119"/>
      <c r="EB27" s="119"/>
      <c r="EC27" s="119"/>
      <c r="ED27" s="119"/>
      <c r="EE27" s="119"/>
      <c r="EF27" s="119"/>
      <c r="EG27" s="119"/>
      <c r="EH27" s="119"/>
      <c r="EI27" s="119"/>
      <c r="EJ27" s="119"/>
      <c r="EK27" s="119"/>
      <c r="EL27" s="119"/>
      <c r="EM27" s="119"/>
      <c r="EN27" s="119"/>
      <c r="EO27" s="119"/>
      <c r="EP27" s="119"/>
      <c r="EQ27" s="119"/>
      <c r="ER27" s="119"/>
      <c r="ES27" s="119"/>
      <c r="ET27" s="3"/>
      <c r="EU27" s="119"/>
      <c r="EV27" s="119"/>
      <c r="EW27" s="119"/>
      <c r="EX27" s="3"/>
      <c r="EY27" s="3"/>
      <c r="EZ27" s="3"/>
      <c r="FA27" s="3"/>
      <c r="FB27" s="3"/>
    </row>
    <row r="28" spans="1:158" x14ac:dyDescent="0.25">
      <c r="A28" s="3"/>
      <c r="B28" s="3"/>
      <c r="C28" s="3"/>
      <c r="D28" s="3"/>
      <c r="E28" s="3"/>
      <c r="F28" s="3"/>
      <c r="G28" s="3"/>
      <c r="H28" s="3"/>
      <c r="I28" s="64"/>
      <c r="J28" s="3"/>
      <c r="K28" s="3"/>
      <c r="L28" s="3"/>
      <c r="M28" s="3"/>
      <c r="N28" s="3"/>
      <c r="O28" s="3"/>
      <c r="P28" s="65"/>
      <c r="Q28" s="65"/>
      <c r="R28" s="65"/>
      <c r="S28" s="65"/>
      <c r="T28" s="3"/>
      <c r="U28" s="65"/>
      <c r="V28" s="65"/>
      <c r="W28" s="3"/>
      <c r="X28" s="3"/>
      <c r="Y28" s="3"/>
      <c r="Z28" s="3"/>
      <c r="AA28" s="3"/>
      <c r="AB28" s="3"/>
      <c r="AC28" s="3">
        <f t="array" ref="AC28">MAX(W7:AO21/AP7:BH21)</f>
        <v>6</v>
      </c>
      <c r="AD28" s="3"/>
      <c r="AE28" s="3"/>
      <c r="AF28" s="3"/>
      <c r="AG28" s="3"/>
      <c r="AH28" s="3"/>
      <c r="AI28" s="3"/>
      <c r="AJ28" s="3"/>
      <c r="AK28" s="3"/>
      <c r="AL28" s="3"/>
      <c r="AM28" s="3"/>
      <c r="AN28" s="3"/>
      <c r="AO28" s="3"/>
      <c r="AP28" s="3"/>
      <c r="AQ28" s="3"/>
      <c r="AR28" s="3"/>
      <c r="AS28" s="3"/>
      <c r="AT28" s="3"/>
      <c r="AU28" s="3"/>
      <c r="AV28" s="3"/>
      <c r="AW28" s="3"/>
      <c r="AX28" s="3"/>
      <c r="AY28" s="3"/>
      <c r="AZ28" s="3"/>
      <c r="BA28" s="3"/>
      <c r="BB28" s="3"/>
      <c r="BC28" s="3"/>
      <c r="BD28" s="3"/>
      <c r="BE28" s="3"/>
      <c r="BF28" s="3"/>
      <c r="BG28" s="3"/>
      <c r="BH28" s="3"/>
      <c r="BI28" s="3"/>
      <c r="BJ28" s="3"/>
      <c r="BK28" s="3"/>
      <c r="BL28" s="3"/>
      <c r="BM28" s="3"/>
      <c r="BN28" s="3"/>
      <c r="BO28" s="3"/>
      <c r="BP28" s="3"/>
      <c r="BQ28" s="3"/>
      <c r="BR28" s="3"/>
      <c r="BS28" s="3"/>
      <c r="BT28" s="3"/>
      <c r="BU28" s="3"/>
      <c r="BV28" s="3"/>
      <c r="BW28" s="3"/>
      <c r="BX28" s="3"/>
      <c r="BY28" s="3"/>
      <c r="BZ28" s="3"/>
      <c r="CA28" s="3"/>
      <c r="CB28" s="3"/>
      <c r="CC28" s="3"/>
      <c r="CD28" s="3"/>
      <c r="CE28" s="3"/>
      <c r="CF28" s="3"/>
      <c r="CG28" s="3"/>
      <c r="CH28" s="3"/>
      <c r="CI28" s="3"/>
      <c r="CJ28" s="3"/>
      <c r="CK28" s="3"/>
      <c r="CL28" s="3"/>
      <c r="CM28" s="3"/>
      <c r="CN28" s="3"/>
      <c r="CO28" s="3"/>
      <c r="CP28" s="3"/>
      <c r="CQ28" s="3"/>
      <c r="CR28" s="3"/>
      <c r="CS28" s="3"/>
      <c r="CT28" s="3"/>
      <c r="CU28" s="3"/>
      <c r="CV28" s="3"/>
      <c r="CW28" s="3"/>
      <c r="CX28" s="3"/>
      <c r="CY28" s="3"/>
      <c r="CZ28" s="3"/>
      <c r="DA28" s="3"/>
      <c r="DB28" s="3"/>
      <c r="DC28" s="3"/>
      <c r="DD28" s="3"/>
      <c r="DE28" s="3"/>
      <c r="DF28" s="3"/>
      <c r="DG28" s="3"/>
      <c r="DH28" s="3"/>
      <c r="DI28" s="3"/>
      <c r="DJ28" s="3"/>
      <c r="DK28" s="3"/>
      <c r="DL28" s="3"/>
      <c r="DM28" s="3"/>
      <c r="DN28" s="3"/>
      <c r="DO28" s="3"/>
      <c r="DP28" s="3"/>
      <c r="DQ28" s="3"/>
      <c r="DR28" s="3"/>
      <c r="DS28" s="3"/>
      <c r="DT28" s="3"/>
      <c r="DU28" s="3"/>
      <c r="DV28" s="3"/>
      <c r="DW28" s="3"/>
      <c r="DX28" s="3"/>
      <c r="DY28" s="3"/>
      <c r="DZ28" s="3"/>
      <c r="EA28" s="3"/>
      <c r="EB28" s="3"/>
      <c r="EC28" s="3"/>
      <c r="ED28" s="3"/>
      <c r="EE28" s="3"/>
      <c r="EF28" s="3"/>
      <c r="EG28" s="3"/>
      <c r="EH28" s="3"/>
      <c r="EI28" s="3"/>
      <c r="EJ28" s="3"/>
      <c r="EK28" s="3"/>
      <c r="EL28" s="3"/>
      <c r="EM28" s="3"/>
      <c r="EN28" s="3"/>
      <c r="EO28" s="3"/>
      <c r="EP28" s="3"/>
      <c r="EQ28" s="3"/>
      <c r="ER28" s="3"/>
      <c r="ES28" s="3"/>
      <c r="ET28" s="3"/>
      <c r="EU28" s="3"/>
      <c r="EV28" s="3"/>
      <c r="EW28" s="3"/>
      <c r="EX28" s="3"/>
      <c r="EY28" s="3"/>
      <c r="EZ28" s="3"/>
      <c r="FA28" s="3"/>
      <c r="FB28" s="3"/>
    </row>
    <row r="29" spans="1:158" x14ac:dyDescent="0.25">
      <c r="A29" s="3"/>
      <c r="B29" s="3"/>
      <c r="C29" s="3"/>
      <c r="D29" s="3"/>
      <c r="E29" s="3"/>
      <c r="F29" s="3"/>
      <c r="G29" s="3"/>
      <c r="H29" s="3"/>
      <c r="I29" s="64"/>
      <c r="J29" s="3"/>
      <c r="K29" s="3"/>
      <c r="L29" s="3"/>
      <c r="M29" s="3"/>
      <c r="N29" s="3"/>
      <c r="O29" s="3"/>
      <c r="P29" s="3"/>
      <c r="Q29" s="3"/>
      <c r="R29" s="3"/>
      <c r="S29" s="3"/>
      <c r="T29" s="3"/>
      <c r="U29" s="65"/>
      <c r="V29" s="65"/>
      <c r="W29" s="3"/>
      <c r="X29" s="3"/>
      <c r="Y29" s="3"/>
      <c r="Z29" s="3"/>
      <c r="AA29" s="3"/>
      <c r="AB29" s="3"/>
      <c r="AC29" s="3"/>
      <c r="AD29" s="3"/>
      <c r="AE29" s="3"/>
      <c r="AF29" s="3"/>
      <c r="AG29" s="3"/>
      <c r="AH29" s="3"/>
      <c r="AI29" s="3"/>
      <c r="AJ29" s="3"/>
      <c r="AK29" s="3"/>
      <c r="AL29" s="3"/>
      <c r="AM29" s="3"/>
      <c r="AN29" s="3"/>
      <c r="AO29" s="3"/>
      <c r="AP29" s="3"/>
      <c r="AQ29" s="3"/>
      <c r="AR29" s="3"/>
      <c r="AS29" s="3"/>
      <c r="AT29" s="3"/>
      <c r="AU29" s="3"/>
      <c r="AV29" s="3"/>
      <c r="AW29" s="3"/>
      <c r="AX29" s="3"/>
      <c r="AY29" s="3"/>
      <c r="AZ29" s="3"/>
      <c r="BA29" s="3"/>
      <c r="BB29" s="3"/>
      <c r="BC29" s="3"/>
      <c r="BD29" s="3"/>
      <c r="BE29" s="3"/>
      <c r="BF29" s="3"/>
      <c r="BG29" s="3"/>
      <c r="BH29" s="3"/>
      <c r="BI29" s="3"/>
      <c r="BJ29" s="3"/>
      <c r="BK29" s="3"/>
      <c r="BL29" s="3"/>
      <c r="BM29" s="3"/>
      <c r="BN29" s="3"/>
      <c r="BO29" s="3"/>
      <c r="BP29" s="3"/>
      <c r="BQ29" s="3"/>
      <c r="BR29" s="3"/>
      <c r="BS29" s="3"/>
      <c r="BT29" s="3"/>
      <c r="BU29" s="3"/>
      <c r="BV29" s="3"/>
      <c r="BW29" s="3"/>
      <c r="BX29" s="3"/>
      <c r="BY29" s="3"/>
      <c r="BZ29" s="3"/>
      <c r="CA29" s="3"/>
      <c r="CB29" s="3"/>
      <c r="CC29" s="3"/>
      <c r="CD29" s="3"/>
      <c r="CE29" s="3"/>
      <c r="CF29" s="3"/>
      <c r="CG29" s="3"/>
      <c r="CH29" s="3"/>
      <c r="CI29" s="3"/>
      <c r="CJ29" s="3"/>
      <c r="CK29" s="3"/>
      <c r="CL29" s="3"/>
      <c r="CM29" s="3"/>
      <c r="CN29" s="3"/>
      <c r="CO29" s="3"/>
      <c r="CP29" s="3"/>
      <c r="CQ29" s="3"/>
      <c r="CR29" s="3"/>
      <c r="CS29" s="3"/>
      <c r="CT29" s="3"/>
      <c r="CU29" s="3"/>
      <c r="CV29" s="3"/>
      <c r="CW29" s="3"/>
      <c r="CX29" s="3"/>
      <c r="CY29" s="3"/>
      <c r="CZ29" s="3"/>
      <c r="DA29" s="3"/>
      <c r="DB29" s="3"/>
      <c r="DC29" s="3"/>
      <c r="DD29" s="3"/>
      <c r="DE29" s="3"/>
      <c r="DF29" s="3"/>
      <c r="DG29" s="3"/>
      <c r="DH29" s="3"/>
      <c r="DI29" s="3"/>
      <c r="DJ29" s="3"/>
      <c r="DK29" s="3"/>
      <c r="DL29" s="3"/>
      <c r="DM29" s="3"/>
      <c r="DN29" s="3"/>
      <c r="DO29" s="3"/>
      <c r="DP29" s="3"/>
      <c r="DQ29" s="3"/>
      <c r="DR29" s="3"/>
      <c r="DS29" s="3"/>
      <c r="DT29" s="3"/>
      <c r="DU29" s="3"/>
      <c r="DV29" s="3"/>
      <c r="DW29" s="3"/>
      <c r="DX29" s="3"/>
      <c r="DY29" s="3"/>
      <c r="DZ29" s="3"/>
      <c r="EA29" s="3"/>
      <c r="EB29" s="3"/>
      <c r="EC29" s="3"/>
      <c r="ED29" s="3"/>
      <c r="EE29" s="3"/>
      <c r="EF29" s="3"/>
      <c r="EG29" s="3"/>
      <c r="EH29" s="3"/>
      <c r="EI29" s="3"/>
      <c r="EJ29" s="3"/>
      <c r="EK29" s="3"/>
      <c r="EL29" s="3"/>
      <c r="EM29" s="3"/>
      <c r="EN29" s="3"/>
      <c r="EO29" s="3"/>
      <c r="EP29" s="3"/>
      <c r="EQ29" s="3"/>
      <c r="ER29" s="3"/>
      <c r="ES29" s="3"/>
      <c r="ET29" s="3"/>
      <c r="EU29" s="3"/>
      <c r="EV29" s="3"/>
      <c r="EW29" s="3"/>
      <c r="EX29" s="3"/>
      <c r="EY29" s="3"/>
      <c r="EZ29" s="3"/>
      <c r="FA29" s="3"/>
      <c r="FB29" s="3"/>
    </row>
    <row r="30" spans="1:158" x14ac:dyDescent="0.25">
      <c r="A30" s="3"/>
      <c r="B30" s="3"/>
      <c r="C30" s="3"/>
      <c r="D30" s="3"/>
      <c r="E30" s="3"/>
      <c r="F30" s="3"/>
      <c r="G30" s="3"/>
      <c r="H30" s="3"/>
      <c r="I30" s="3"/>
      <c r="J30" s="3"/>
      <c r="K30" s="3"/>
      <c r="L30" s="3"/>
      <c r="M30" s="3"/>
      <c r="N30" s="3"/>
      <c r="O30" s="3"/>
      <c r="P30" s="3"/>
      <c r="Q30" s="3"/>
      <c r="R30" s="3"/>
      <c r="S30" s="3"/>
      <c r="T30" s="3"/>
      <c r="U30" s="3"/>
      <c r="V30" s="3"/>
      <c r="W30" s="3"/>
      <c r="X30" s="3"/>
      <c r="Y30" s="3"/>
      <c r="Z30" s="3"/>
      <c r="AA30" s="3"/>
      <c r="AB30" s="3"/>
      <c r="AC30" s="3"/>
      <c r="AD30" s="3"/>
      <c r="AE30" s="3"/>
      <c r="AF30" s="3"/>
      <c r="AG30" s="3"/>
      <c r="AH30" s="3"/>
      <c r="AI30" s="3"/>
      <c r="AJ30" s="3"/>
      <c r="AK30" s="3"/>
      <c r="AL30" s="3"/>
      <c r="AM30" s="3"/>
      <c r="AN30" s="3"/>
      <c r="AO30" s="3"/>
      <c r="AP30" s="3"/>
      <c r="AQ30" s="3"/>
      <c r="AR30" s="3"/>
      <c r="AS30" s="3"/>
      <c r="AT30" s="3"/>
      <c r="AU30" s="3"/>
      <c r="AV30" s="3"/>
      <c r="AW30" s="3"/>
      <c r="AX30" s="3"/>
      <c r="AY30" s="3"/>
      <c r="AZ30" s="3"/>
      <c r="BA30" s="3"/>
      <c r="BB30" s="3"/>
      <c r="BC30" s="3"/>
      <c r="BD30" s="3"/>
      <c r="BE30" s="3"/>
      <c r="BF30" s="3"/>
      <c r="BG30" s="3"/>
      <c r="BH30" s="3"/>
      <c r="BI30" s="3"/>
      <c r="BJ30" s="3"/>
      <c r="BK30" s="3"/>
      <c r="BL30" s="3"/>
      <c r="BM30" s="3"/>
      <c r="BN30" s="3"/>
      <c r="BO30" s="3"/>
      <c r="BP30" s="3"/>
      <c r="BQ30" s="3"/>
      <c r="BR30" s="3"/>
      <c r="BS30" s="3"/>
      <c r="BT30" s="3"/>
      <c r="BU30" s="3"/>
      <c r="BV30" s="3"/>
      <c r="BW30" s="3"/>
      <c r="BX30" s="3"/>
      <c r="BY30" s="3"/>
      <c r="BZ30" s="3"/>
      <c r="CA30" s="3"/>
      <c r="CB30" s="3"/>
      <c r="CC30" s="3"/>
      <c r="CD30" s="3"/>
      <c r="CE30" s="3"/>
      <c r="CF30" s="3"/>
      <c r="CG30" s="3"/>
      <c r="CH30" s="3"/>
      <c r="CI30" s="3"/>
      <c r="CJ30" s="3"/>
      <c r="CK30" s="3"/>
      <c r="CL30" s="3"/>
      <c r="CM30" s="3"/>
      <c r="CN30" s="3"/>
      <c r="CO30" s="3"/>
      <c r="CP30" s="3"/>
      <c r="CQ30" s="3"/>
      <c r="CR30" s="3"/>
      <c r="CS30" s="3"/>
      <c r="CT30" s="3"/>
      <c r="CU30" s="3"/>
      <c r="CV30" s="3"/>
      <c r="CW30" s="3"/>
      <c r="CX30" s="3"/>
      <c r="CY30" s="3"/>
      <c r="CZ30" s="3"/>
      <c r="DA30" s="3"/>
      <c r="DB30" s="3"/>
      <c r="DC30" s="3"/>
      <c r="DD30" s="3"/>
      <c r="DE30" s="3"/>
      <c r="DF30" s="3"/>
      <c r="DG30" s="3"/>
      <c r="DH30" s="3"/>
      <c r="DI30" s="3"/>
      <c r="DJ30" s="3"/>
      <c r="DK30" s="3"/>
      <c r="DL30" s="3"/>
      <c r="DM30" s="3"/>
      <c r="DN30" s="3"/>
      <c r="DO30" s="3"/>
      <c r="DP30" s="3"/>
      <c r="DQ30" s="3"/>
      <c r="DR30" s="3"/>
      <c r="DS30" s="3"/>
      <c r="DT30" s="3"/>
      <c r="DU30" s="3"/>
      <c r="DV30" s="3"/>
      <c r="DW30" s="3"/>
      <c r="DX30" s="3"/>
      <c r="DY30" s="3"/>
      <c r="DZ30" s="3"/>
      <c r="EA30" s="3"/>
      <c r="EB30" s="3"/>
      <c r="EC30" s="3"/>
      <c r="ED30" s="3"/>
      <c r="EE30" s="3"/>
      <c r="EF30" s="3"/>
      <c r="EG30" s="3"/>
      <c r="EH30" s="3"/>
      <c r="EI30" s="3"/>
      <c r="EJ30" s="3"/>
      <c r="EK30" s="3"/>
      <c r="EL30" s="3"/>
      <c r="EM30" s="3"/>
      <c r="EN30" s="3"/>
      <c r="EO30" s="3"/>
      <c r="EP30" s="3"/>
      <c r="EQ30" s="3"/>
      <c r="ER30" s="3"/>
      <c r="ES30" s="3"/>
      <c r="ET30" s="3"/>
      <c r="EU30" s="3"/>
      <c r="EV30" s="3"/>
      <c r="EW30" s="3"/>
      <c r="EX30" s="3"/>
      <c r="EY30" s="3"/>
      <c r="EZ30" s="3"/>
      <c r="FA30" s="3"/>
      <c r="FB30" s="3"/>
    </row>
    <row r="31" spans="1:158" x14ac:dyDescent="0.25">
      <c r="A31" s="3"/>
      <c r="B31" s="3"/>
      <c r="C31" s="3"/>
      <c r="D31" s="3"/>
      <c r="E31" s="3"/>
      <c r="F31" s="3"/>
      <c r="G31" s="3"/>
      <c r="H31" s="3"/>
      <c r="I31" s="3"/>
      <c r="J31" s="3"/>
      <c r="K31" s="3"/>
      <c r="L31" s="3"/>
      <c r="M31" s="3"/>
      <c r="N31" s="3"/>
      <c r="O31" s="3"/>
      <c r="P31" s="3"/>
      <c r="Q31" s="3"/>
      <c r="R31" s="3"/>
      <c r="S31" s="3"/>
      <c r="T31" s="3"/>
      <c r="U31" s="3"/>
      <c r="V31" s="3"/>
      <c r="W31" s="3"/>
      <c r="X31" s="3"/>
      <c r="Y31" s="3"/>
      <c r="Z31" s="3"/>
      <c r="AA31" s="3"/>
      <c r="AB31" s="3"/>
      <c r="AC31" s="3"/>
      <c r="AD31" s="3"/>
      <c r="AE31" s="3"/>
      <c r="AF31" s="3"/>
      <c r="AG31" s="3"/>
      <c r="AH31" s="3"/>
      <c r="AI31" s="3"/>
      <c r="AJ31" s="3"/>
      <c r="AK31" s="3"/>
      <c r="AL31" s="3"/>
      <c r="AM31" s="3"/>
      <c r="AN31" s="3"/>
      <c r="AO31" s="3"/>
      <c r="AP31" s="3"/>
      <c r="AQ31" s="3"/>
      <c r="AR31" s="3"/>
      <c r="AS31" s="3"/>
      <c r="AT31" s="3"/>
      <c r="AU31" s="3"/>
      <c r="AV31" s="3"/>
      <c r="AW31" s="3"/>
      <c r="AX31" s="3"/>
      <c r="AY31" s="3"/>
      <c r="AZ31" s="3"/>
      <c r="BA31" s="3"/>
      <c r="BB31" s="3"/>
      <c r="BC31" s="3"/>
      <c r="BD31" s="3"/>
      <c r="BE31" s="3"/>
      <c r="BF31" s="3"/>
      <c r="BG31" s="3"/>
      <c r="BH31" s="3"/>
      <c r="BI31" s="3"/>
      <c r="BJ31" s="3"/>
      <c r="BK31" s="3"/>
      <c r="BL31" s="3"/>
      <c r="BM31" s="3"/>
      <c r="BN31" s="3"/>
      <c r="BO31" s="3"/>
      <c r="BP31" s="3"/>
      <c r="BQ31" s="3"/>
      <c r="BR31" s="3"/>
      <c r="BS31" s="3"/>
      <c r="BT31" s="3"/>
      <c r="BU31" s="3"/>
      <c r="BV31" s="3"/>
      <c r="BW31" s="3"/>
      <c r="BX31" s="3"/>
      <c r="BY31" s="3"/>
      <c r="BZ31" s="3"/>
      <c r="CA31" s="3"/>
      <c r="CB31" s="3"/>
      <c r="CC31" s="3"/>
      <c r="CD31" s="3"/>
      <c r="CE31" s="3"/>
      <c r="CF31" s="3"/>
      <c r="CG31" s="3"/>
      <c r="CH31" s="3"/>
      <c r="CI31" s="3"/>
      <c r="CJ31" s="3"/>
      <c r="CK31" s="3"/>
      <c r="CL31" s="3"/>
      <c r="CM31" s="3"/>
      <c r="CN31" s="3"/>
      <c r="CO31" s="3"/>
      <c r="CP31" s="3"/>
      <c r="CQ31" s="3"/>
      <c r="CR31" s="3"/>
      <c r="CS31" s="3"/>
      <c r="CT31" s="3"/>
      <c r="CU31" s="3"/>
      <c r="CV31" s="3"/>
      <c r="CW31" s="3"/>
      <c r="CX31" s="3"/>
      <c r="CY31" s="3"/>
      <c r="CZ31" s="3"/>
      <c r="DA31" s="3"/>
      <c r="DB31" s="3"/>
      <c r="DC31" s="3"/>
      <c r="DD31" s="3"/>
      <c r="DE31" s="3"/>
      <c r="DF31" s="3"/>
      <c r="DG31" s="3"/>
      <c r="DH31" s="3"/>
      <c r="DI31" s="3"/>
      <c r="DJ31" s="3"/>
      <c r="DK31" s="3"/>
      <c r="DL31" s="3"/>
      <c r="DM31" s="3"/>
      <c r="DN31" s="3"/>
      <c r="DO31" s="3"/>
      <c r="DP31" s="3"/>
      <c r="DQ31" s="3"/>
      <c r="DR31" s="3"/>
      <c r="DS31" s="3"/>
      <c r="DT31" s="3"/>
      <c r="DU31" s="3"/>
      <c r="DV31" s="3"/>
      <c r="DW31" s="3"/>
      <c r="DX31" s="3"/>
      <c r="DY31" s="3"/>
      <c r="DZ31" s="3"/>
      <c r="EA31" s="3"/>
      <c r="EB31" s="3"/>
      <c r="EC31" s="3"/>
      <c r="ED31" s="3"/>
      <c r="EE31" s="3"/>
      <c r="EF31" s="3"/>
      <c r="EG31" s="3"/>
      <c r="EH31" s="3"/>
      <c r="EI31" s="3"/>
      <c r="EJ31" s="3"/>
      <c r="EK31" s="3"/>
      <c r="EL31" s="3"/>
      <c r="EM31" s="3"/>
      <c r="EN31" s="3"/>
      <c r="EO31" s="3"/>
      <c r="EP31" s="3"/>
      <c r="EQ31" s="3"/>
      <c r="ER31" s="3"/>
      <c r="ES31" s="3"/>
      <c r="ET31" s="3"/>
      <c r="EU31" s="3"/>
      <c r="EV31" s="3"/>
      <c r="EW31" s="3"/>
      <c r="EX31" s="3"/>
      <c r="EY31" s="3"/>
      <c r="EZ31" s="3"/>
      <c r="FA31" s="3"/>
      <c r="FB31" s="3"/>
    </row>
    <row r="32" spans="1:158" x14ac:dyDescent="0.25">
      <c r="A32" s="3"/>
      <c r="B32" s="3"/>
      <c r="C32" s="3"/>
      <c r="D32" s="3"/>
      <c r="E32" s="3"/>
      <c r="F32" s="3"/>
      <c r="G32" s="3"/>
      <c r="H32" s="3"/>
      <c r="I32" s="3"/>
      <c r="J32" s="3"/>
      <c r="K32" s="3"/>
      <c r="L32" s="3"/>
      <c r="M32" s="3"/>
      <c r="N32" s="3"/>
      <c r="O32" s="3"/>
      <c r="P32" s="3"/>
      <c r="Q32" s="3"/>
      <c r="R32" s="3"/>
      <c r="S32" s="3"/>
      <c r="T32" s="3"/>
      <c r="U32" s="3"/>
      <c r="V32" s="3"/>
      <c r="W32" s="3"/>
      <c r="X32" s="3"/>
      <c r="Y32" s="3"/>
      <c r="Z32" s="3"/>
      <c r="AA32" s="3"/>
      <c r="AB32" s="3"/>
      <c r="AC32" s="3"/>
      <c r="AD32" s="3"/>
      <c r="AE32" s="3"/>
      <c r="AF32" s="3"/>
      <c r="AG32" s="3"/>
      <c r="AH32" s="3"/>
      <c r="AI32" s="3"/>
      <c r="AJ32" s="3"/>
      <c r="AK32" s="3"/>
      <c r="AL32" s="3"/>
      <c r="AM32" s="3"/>
      <c r="AN32" s="3"/>
      <c r="AO32" s="3"/>
      <c r="AP32" s="3"/>
      <c r="AQ32" s="3"/>
      <c r="AR32" s="3"/>
      <c r="AS32" s="3"/>
      <c r="AT32" s="3"/>
      <c r="AU32" s="3"/>
      <c r="AV32" s="3"/>
      <c r="AW32" s="3"/>
      <c r="AX32" s="3"/>
      <c r="AY32" s="3"/>
      <c r="AZ32" s="3"/>
      <c r="BA32" s="3"/>
      <c r="BB32" s="3"/>
      <c r="BC32" s="3"/>
      <c r="BD32" s="3"/>
      <c r="BE32" s="3"/>
      <c r="BF32" s="3"/>
      <c r="BG32" s="3"/>
      <c r="BH32" s="3"/>
      <c r="BI32" s="3"/>
      <c r="BJ32" s="3"/>
      <c r="BK32" s="3"/>
      <c r="BL32" s="3"/>
      <c r="BM32" s="3"/>
      <c r="BN32" s="3"/>
      <c r="BO32" s="3"/>
      <c r="BP32" s="3"/>
      <c r="BQ32" s="3"/>
      <c r="BR32" s="3"/>
      <c r="BS32" s="3"/>
      <c r="BT32" s="3"/>
      <c r="BU32" s="3"/>
      <c r="BV32" s="3"/>
      <c r="BW32" s="3"/>
      <c r="BX32" s="3"/>
      <c r="BY32" s="3"/>
      <c r="BZ32" s="3"/>
      <c r="CA32" s="3"/>
      <c r="CB32" s="3"/>
      <c r="CC32" s="3"/>
      <c r="CD32" s="3"/>
      <c r="CE32" s="3"/>
      <c r="CF32" s="3"/>
      <c r="CG32" s="3"/>
      <c r="CH32" s="3"/>
      <c r="CI32" s="3"/>
      <c r="CJ32" s="3"/>
      <c r="CK32" s="3"/>
      <c r="CL32" s="3"/>
      <c r="CM32" s="3"/>
      <c r="CN32" s="3"/>
      <c r="CO32" s="3"/>
      <c r="CP32" s="3"/>
      <c r="CQ32" s="3"/>
      <c r="CR32" s="3"/>
      <c r="CS32" s="3"/>
      <c r="CT32" s="3"/>
      <c r="CU32" s="3"/>
      <c r="CV32" s="3"/>
      <c r="CW32" s="3"/>
      <c r="CX32" s="3"/>
      <c r="CY32" s="3"/>
      <c r="CZ32" s="3"/>
      <c r="DA32" s="3"/>
      <c r="DB32" s="3"/>
      <c r="DC32" s="3"/>
      <c r="DD32" s="3"/>
      <c r="DE32" s="3"/>
      <c r="DF32" s="3"/>
      <c r="DG32" s="3"/>
      <c r="DH32" s="3"/>
      <c r="DI32" s="3"/>
      <c r="DJ32" s="3"/>
      <c r="DK32" s="3"/>
      <c r="DL32" s="3"/>
      <c r="DM32" s="3"/>
      <c r="DN32" s="3"/>
      <c r="DO32" s="3"/>
      <c r="DP32" s="3"/>
      <c r="DQ32" s="3"/>
      <c r="DR32" s="3"/>
      <c r="DS32" s="3"/>
      <c r="DT32" s="3"/>
      <c r="DU32" s="3"/>
      <c r="DV32" s="3"/>
      <c r="DW32" s="3"/>
      <c r="DX32" s="3"/>
      <c r="DY32" s="3"/>
      <c r="DZ32" s="3"/>
      <c r="EA32" s="3"/>
      <c r="EB32" s="3"/>
      <c r="EC32" s="3"/>
      <c r="ED32" s="3"/>
      <c r="EE32" s="3"/>
      <c r="EF32" s="3"/>
      <c r="EG32" s="3"/>
      <c r="EH32" s="3"/>
      <c r="EI32" s="3"/>
      <c r="EJ32" s="3"/>
      <c r="EK32" s="3"/>
      <c r="EL32" s="3"/>
      <c r="EM32" s="3"/>
      <c r="EN32" s="3"/>
      <c r="EO32" s="3"/>
      <c r="EP32" s="3"/>
      <c r="EQ32" s="3"/>
      <c r="ER32" s="3"/>
      <c r="ES32" s="3"/>
      <c r="ET32" s="3"/>
      <c r="EU32" s="3"/>
      <c r="EV32" s="3"/>
      <c r="EW32" s="3"/>
      <c r="EX32" s="3"/>
      <c r="EY32" s="3"/>
      <c r="EZ32" s="3"/>
      <c r="FA32" s="3"/>
      <c r="FB32" s="3"/>
    </row>
    <row r="33" spans="1:158" x14ac:dyDescent="0.25">
      <c r="A33" s="3"/>
      <c r="B33" s="3"/>
      <c r="C33" s="3"/>
      <c r="D33" s="3"/>
      <c r="E33" s="3"/>
      <c r="F33" s="3"/>
      <c r="G33" s="3"/>
      <c r="H33" s="3"/>
      <c r="I33" s="3"/>
      <c r="J33" s="3"/>
      <c r="K33" s="3"/>
      <c r="L33" s="3"/>
      <c r="M33" s="3"/>
      <c r="N33" s="3"/>
      <c r="O33" s="3"/>
      <c r="P33" s="3"/>
      <c r="Q33" s="3"/>
      <c r="R33" s="3"/>
      <c r="S33" s="3"/>
      <c r="T33" s="3"/>
      <c r="U33" s="3"/>
      <c r="V33" s="3"/>
      <c r="W33" s="3"/>
      <c r="X33" s="3"/>
      <c r="Y33" s="3"/>
      <c r="Z33" s="3"/>
      <c r="AA33" s="3"/>
      <c r="AB33" s="3"/>
      <c r="AC33" s="3"/>
      <c r="AD33" s="3"/>
      <c r="AE33" s="3"/>
      <c r="AF33" s="3"/>
      <c r="AG33" s="3"/>
      <c r="AH33" s="3"/>
      <c r="AI33" s="3"/>
      <c r="AJ33" s="3"/>
      <c r="AK33" s="3"/>
      <c r="AL33" s="3"/>
      <c r="AM33" s="3"/>
      <c r="AN33" s="3"/>
      <c r="AO33" s="3"/>
      <c r="AP33" s="3"/>
      <c r="AQ33" s="3"/>
      <c r="AR33" s="3"/>
      <c r="AS33" s="3"/>
      <c r="AT33" s="3"/>
      <c r="AU33" s="3"/>
      <c r="AV33" s="3"/>
      <c r="AW33" s="3"/>
      <c r="AX33" s="3"/>
      <c r="AY33" s="3"/>
      <c r="AZ33" s="3"/>
      <c r="BA33" s="3"/>
      <c r="BB33" s="3"/>
      <c r="BC33" s="3"/>
      <c r="BD33" s="3"/>
      <c r="BE33" s="3"/>
      <c r="BF33" s="3"/>
      <c r="BG33" s="3"/>
      <c r="BH33" s="3"/>
      <c r="BI33" s="3"/>
      <c r="BJ33" s="3"/>
      <c r="BK33" s="3"/>
      <c r="BL33" s="3"/>
      <c r="BM33" s="3"/>
      <c r="BN33" s="3"/>
      <c r="BO33" s="3"/>
      <c r="BP33" s="3"/>
      <c r="BQ33" s="3"/>
      <c r="BR33" s="3"/>
      <c r="BS33" s="3"/>
      <c r="BT33" s="3"/>
      <c r="BU33" s="3"/>
      <c r="BV33" s="3"/>
      <c r="BW33" s="3"/>
      <c r="BX33" s="3"/>
      <c r="BY33" s="3"/>
      <c r="BZ33" s="3"/>
      <c r="CA33" s="3"/>
      <c r="CB33" s="3"/>
      <c r="CC33" s="3"/>
      <c r="CD33" s="3"/>
      <c r="CE33" s="3"/>
      <c r="CF33" s="3"/>
      <c r="CG33" s="3"/>
      <c r="CH33" s="3"/>
      <c r="CI33" s="3"/>
      <c r="CJ33" s="3"/>
      <c r="CK33" s="3"/>
      <c r="CL33" s="3"/>
      <c r="CM33" s="3"/>
      <c r="CN33" s="3"/>
      <c r="CO33" s="3"/>
      <c r="CP33" s="3"/>
      <c r="CQ33" s="3"/>
      <c r="CR33" s="3"/>
      <c r="CS33" s="3"/>
      <c r="CT33" s="3"/>
      <c r="CU33" s="3"/>
      <c r="CV33" s="3"/>
      <c r="CW33" s="3"/>
      <c r="CX33" s="3"/>
      <c r="CY33" s="3"/>
      <c r="CZ33" s="3"/>
      <c r="DA33" s="3"/>
      <c r="DB33" s="3"/>
      <c r="DC33" s="3"/>
      <c r="DD33" s="3"/>
      <c r="DE33" s="3"/>
      <c r="DF33" s="3"/>
      <c r="DG33" s="3"/>
      <c r="DH33" s="3"/>
      <c r="DI33" s="3"/>
      <c r="DJ33" s="3"/>
      <c r="DK33" s="3"/>
      <c r="DL33" s="3"/>
      <c r="DM33" s="3"/>
      <c r="DN33" s="3"/>
      <c r="DO33" s="3"/>
      <c r="DP33" s="3"/>
      <c r="DQ33" s="3"/>
      <c r="DR33" s="3"/>
      <c r="DS33" s="3"/>
      <c r="DT33" s="3"/>
      <c r="DU33" s="3"/>
      <c r="DV33" s="3"/>
      <c r="DW33" s="3"/>
      <c r="DX33" s="3"/>
      <c r="DY33" s="3"/>
      <c r="DZ33" s="3"/>
      <c r="EA33" s="3"/>
      <c r="EB33" s="3"/>
      <c r="EC33" s="3"/>
      <c r="ED33" s="3"/>
      <c r="EE33" s="3"/>
      <c r="EF33" s="3"/>
      <c r="EG33" s="3"/>
      <c r="EH33" s="3"/>
      <c r="EI33" s="3"/>
      <c r="EJ33" s="3"/>
      <c r="EK33" s="3"/>
      <c r="EL33" s="3"/>
      <c r="EM33" s="3"/>
      <c r="EN33" s="3"/>
      <c r="EO33" s="3"/>
      <c r="EP33" s="3"/>
      <c r="EQ33" s="3"/>
      <c r="ER33" s="3"/>
      <c r="ES33" s="3"/>
      <c r="ET33" s="3"/>
      <c r="EU33" s="3"/>
      <c r="EV33" s="3"/>
      <c r="EW33" s="3"/>
      <c r="EX33" s="3"/>
      <c r="EY33" s="3"/>
      <c r="EZ33" s="3"/>
      <c r="FA33" s="3"/>
      <c r="FB33" s="3"/>
    </row>
    <row r="34" spans="1:158" x14ac:dyDescent="0.25">
      <c r="A34" s="3"/>
      <c r="B34" s="3"/>
      <c r="C34" s="3"/>
      <c r="D34" s="3"/>
      <c r="E34" s="3"/>
      <c r="F34" s="3"/>
      <c r="G34" s="3"/>
      <c r="H34" s="3"/>
      <c r="I34" s="3"/>
      <c r="J34" s="3"/>
      <c r="K34" s="3"/>
      <c r="L34" s="3"/>
      <c r="M34" s="3"/>
      <c r="N34" s="3"/>
      <c r="O34" s="3"/>
      <c r="P34" s="3"/>
      <c r="Q34" s="3"/>
      <c r="R34" s="3"/>
      <c r="S34" s="3"/>
      <c r="T34" s="3"/>
      <c r="U34" s="3"/>
      <c r="V34" s="3"/>
      <c r="W34" s="3"/>
      <c r="X34" s="3"/>
      <c r="Y34" s="3"/>
      <c r="Z34" s="3"/>
      <c r="AA34" s="3"/>
      <c r="AB34" s="3"/>
      <c r="AC34" s="3"/>
      <c r="AD34" s="3"/>
      <c r="AE34" s="3"/>
      <c r="AF34" s="3"/>
      <c r="AG34" s="3"/>
      <c r="AH34" s="3"/>
      <c r="AI34" s="3"/>
      <c r="AJ34" s="3"/>
      <c r="AK34" s="3"/>
      <c r="AL34" s="3"/>
      <c r="AM34" s="3"/>
      <c r="AN34" s="3"/>
      <c r="AO34" s="3"/>
      <c r="AP34" s="3"/>
      <c r="AQ34" s="3"/>
      <c r="AR34" s="3"/>
      <c r="AS34" s="3"/>
      <c r="AT34" s="3"/>
      <c r="AU34" s="3"/>
      <c r="AV34" s="3"/>
      <c r="AW34" s="3"/>
      <c r="AX34" s="3"/>
      <c r="AY34" s="3"/>
      <c r="AZ34" s="3"/>
      <c r="BA34" s="3"/>
      <c r="BB34" s="3"/>
      <c r="BC34" s="3"/>
      <c r="BD34" s="3"/>
      <c r="BE34" s="3"/>
      <c r="BF34" s="3"/>
      <c r="BG34" s="3"/>
      <c r="BH34" s="3"/>
      <c r="BI34" s="3"/>
      <c r="BJ34" s="3"/>
      <c r="BK34" s="3"/>
      <c r="BL34" s="3"/>
      <c r="BM34" s="3"/>
      <c r="BN34" s="3"/>
      <c r="BO34" s="3"/>
      <c r="BP34" s="3"/>
      <c r="BQ34" s="3"/>
      <c r="BR34" s="3"/>
      <c r="BS34" s="3"/>
      <c r="BT34" s="3"/>
      <c r="BU34" s="3"/>
      <c r="BV34" s="3"/>
      <c r="BW34" s="3"/>
      <c r="BX34" s="3"/>
      <c r="BY34" s="3"/>
      <c r="BZ34" s="3"/>
      <c r="CA34" s="3"/>
      <c r="CB34" s="3"/>
      <c r="CC34" s="3"/>
      <c r="CD34" s="3"/>
      <c r="CE34" s="3"/>
      <c r="CF34" s="3"/>
      <c r="CG34" s="3"/>
      <c r="CH34" s="3"/>
      <c r="CI34" s="3"/>
      <c r="CJ34" s="3"/>
      <c r="CK34" s="3"/>
      <c r="CL34" s="3"/>
      <c r="CM34" s="3"/>
      <c r="CN34" s="3"/>
      <c r="CO34" s="3"/>
      <c r="CP34" s="3"/>
      <c r="CQ34" s="3"/>
      <c r="CR34" s="3"/>
      <c r="CS34" s="3"/>
      <c r="CT34" s="3"/>
      <c r="CU34" s="3"/>
      <c r="CV34" s="3"/>
      <c r="CW34" s="3"/>
      <c r="CX34" s="3"/>
      <c r="CY34" s="3"/>
      <c r="CZ34" s="3"/>
      <c r="DA34" s="3"/>
      <c r="DB34" s="3"/>
      <c r="DC34" s="3"/>
      <c r="DD34" s="3"/>
      <c r="DE34" s="3"/>
      <c r="DF34" s="3"/>
      <c r="DG34" s="3"/>
      <c r="DH34" s="3"/>
      <c r="DI34" s="3"/>
      <c r="DJ34" s="3"/>
      <c r="DK34" s="3"/>
      <c r="DL34" s="3"/>
      <c r="DM34" s="3"/>
      <c r="DN34" s="3"/>
      <c r="DO34" s="3"/>
      <c r="DP34" s="3"/>
      <c r="DQ34" s="3"/>
      <c r="DR34" s="3"/>
      <c r="DS34" s="3"/>
      <c r="DT34" s="3"/>
      <c r="DU34" s="3"/>
      <c r="DV34" s="3"/>
      <c r="DW34" s="3"/>
      <c r="DX34" s="3"/>
      <c r="DY34" s="3"/>
      <c r="DZ34" s="3"/>
      <c r="EA34" s="3"/>
      <c r="EB34" s="3"/>
      <c r="EC34" s="3"/>
      <c r="ED34" s="3"/>
      <c r="EE34" s="3"/>
      <c r="EF34" s="3"/>
      <c r="EG34" s="3"/>
      <c r="EH34" s="3"/>
      <c r="EI34" s="3"/>
      <c r="EJ34" s="3"/>
      <c r="EK34" s="3"/>
      <c r="EL34" s="3"/>
      <c r="EM34" s="3"/>
      <c r="EN34" s="3"/>
      <c r="EO34" s="3"/>
      <c r="EP34" s="3"/>
      <c r="EQ34" s="3"/>
      <c r="ER34" s="3"/>
      <c r="ES34" s="3"/>
      <c r="ET34" s="3"/>
      <c r="EU34" s="3"/>
      <c r="EV34" s="3"/>
      <c r="EW34" s="3"/>
      <c r="EX34" s="3"/>
      <c r="EY34" s="3"/>
      <c r="EZ34" s="3"/>
      <c r="FA34" s="3"/>
      <c r="FB34" s="3"/>
    </row>
    <row r="35" spans="1:158" x14ac:dyDescent="0.25">
      <c r="A35" s="3"/>
      <c r="B35" s="3"/>
      <c r="C35" s="3"/>
      <c r="D35" s="3"/>
      <c r="E35" s="3"/>
      <c r="F35" s="3"/>
      <c r="G35" s="3"/>
      <c r="H35" s="3"/>
      <c r="I35" s="3"/>
      <c r="J35" s="3"/>
      <c r="K35" s="3"/>
      <c r="L35" s="3"/>
      <c r="M35" s="3"/>
      <c r="N35" s="3"/>
      <c r="O35" s="3"/>
      <c r="P35" s="3"/>
      <c r="Q35" s="3"/>
      <c r="R35" s="3"/>
      <c r="S35" s="3"/>
      <c r="T35" s="3"/>
      <c r="U35" s="3"/>
      <c r="V35" s="3"/>
      <c r="W35" s="3"/>
      <c r="X35" s="3"/>
      <c r="Y35" s="3"/>
      <c r="Z35" s="3"/>
      <c r="AA35" s="3"/>
      <c r="AB35" s="3"/>
      <c r="AC35" s="3"/>
      <c r="AD35" s="3"/>
      <c r="AE35" s="3"/>
      <c r="AF35" s="3"/>
      <c r="AG35" s="3"/>
      <c r="AH35" s="3"/>
      <c r="AI35" s="3"/>
      <c r="AJ35" s="3"/>
      <c r="AK35" s="3"/>
      <c r="AL35" s="3"/>
      <c r="AM35" s="3"/>
      <c r="AN35" s="3"/>
      <c r="AO35" s="3"/>
      <c r="AP35" s="3"/>
      <c r="AQ35" s="3"/>
      <c r="AR35" s="3"/>
      <c r="AS35" s="3"/>
      <c r="AT35" s="3"/>
      <c r="AU35" s="3"/>
      <c r="AV35" s="3"/>
      <c r="AW35" s="3"/>
      <c r="AX35" s="3"/>
      <c r="AY35" s="3"/>
      <c r="AZ35" s="3"/>
      <c r="BA35" s="3"/>
      <c r="BB35" s="3"/>
      <c r="BC35" s="3"/>
      <c r="BD35" s="3"/>
      <c r="BE35" s="3"/>
      <c r="BF35" s="3"/>
      <c r="BG35" s="3"/>
      <c r="BH35" s="3"/>
      <c r="BI35" s="3"/>
      <c r="BJ35" s="3"/>
      <c r="BK35" s="3"/>
      <c r="BL35" s="3"/>
      <c r="BM35" s="3"/>
      <c r="BN35" s="3"/>
      <c r="BO35" s="3"/>
      <c r="BP35" s="3"/>
      <c r="BQ35" s="3"/>
      <c r="BR35" s="3"/>
      <c r="BS35" s="3"/>
      <c r="BT35" s="3"/>
      <c r="BU35" s="3"/>
      <c r="BV35" s="3"/>
      <c r="BW35" s="3"/>
      <c r="BX35" s="3"/>
      <c r="BY35" s="3"/>
      <c r="BZ35" s="3"/>
      <c r="CA35" s="3"/>
      <c r="CB35" s="3"/>
      <c r="CC35" s="3"/>
      <c r="CD35" s="3"/>
      <c r="CE35" s="3"/>
      <c r="CF35" s="3"/>
      <c r="CG35" s="3"/>
      <c r="CH35" s="3"/>
      <c r="CI35" s="3"/>
      <c r="CJ35" s="3"/>
      <c r="CK35" s="3"/>
      <c r="CL35" s="3"/>
      <c r="CM35" s="3"/>
      <c r="CN35" s="3"/>
      <c r="CO35" s="3"/>
      <c r="CP35" s="3"/>
      <c r="CQ35" s="3"/>
      <c r="CR35" s="3"/>
      <c r="CS35" s="3"/>
      <c r="CT35" s="3"/>
      <c r="CU35" s="3"/>
      <c r="CV35" s="3"/>
      <c r="CW35" s="3"/>
      <c r="CX35" s="3"/>
      <c r="CY35" s="3"/>
      <c r="CZ35" s="3"/>
      <c r="DA35" s="3"/>
      <c r="DB35" s="3"/>
      <c r="DC35" s="3"/>
      <c r="DD35" s="3"/>
      <c r="DE35" s="3"/>
      <c r="DF35" s="3"/>
      <c r="DG35" s="3"/>
      <c r="DH35" s="3"/>
      <c r="DI35" s="3"/>
      <c r="DJ35" s="3"/>
      <c r="DK35" s="3"/>
      <c r="DL35" s="3"/>
      <c r="DM35" s="3"/>
      <c r="DN35" s="3"/>
      <c r="DO35" s="3"/>
      <c r="DP35" s="3"/>
      <c r="DQ35" s="3"/>
      <c r="DR35" s="3"/>
      <c r="DS35" s="3"/>
      <c r="DT35" s="3"/>
      <c r="DU35" s="3"/>
      <c r="DV35" s="3"/>
      <c r="DW35" s="3"/>
      <c r="DX35" s="3"/>
      <c r="DY35" s="3"/>
      <c r="DZ35" s="3"/>
      <c r="EA35" s="3"/>
      <c r="EB35" s="3"/>
      <c r="EC35" s="3"/>
      <c r="ED35" s="3"/>
      <c r="EE35" s="3"/>
      <c r="EF35" s="3"/>
      <c r="EG35" s="3"/>
      <c r="EH35" s="3"/>
      <c r="EI35" s="3"/>
      <c r="EJ35" s="3"/>
      <c r="EK35" s="3"/>
      <c r="EL35" s="3"/>
      <c r="EM35" s="3"/>
      <c r="EN35" s="3"/>
      <c r="EO35" s="3"/>
      <c r="EP35" s="3"/>
      <c r="EQ35" s="3"/>
      <c r="ER35" s="3"/>
      <c r="ES35" s="3"/>
      <c r="ET35" s="3"/>
      <c r="EU35" s="3"/>
      <c r="EV35" s="3"/>
      <c r="EW35" s="3"/>
      <c r="EX35" s="3"/>
      <c r="EY35" s="3"/>
      <c r="EZ35" s="3"/>
      <c r="FA35" s="3"/>
      <c r="FB35" s="3"/>
    </row>
    <row r="36" spans="1:158" x14ac:dyDescent="0.25">
      <c r="A36" s="3"/>
      <c r="B36" s="3"/>
      <c r="C36" s="3"/>
      <c r="D36" s="3"/>
      <c r="E36" s="3"/>
      <c r="F36" s="3"/>
      <c r="G36" s="3"/>
      <c r="H36" s="3"/>
      <c r="I36" s="3"/>
      <c r="J36" s="3"/>
      <c r="K36" s="3"/>
      <c r="L36" s="3"/>
      <c r="M36" s="3"/>
      <c r="N36" s="3"/>
      <c r="O36" s="3"/>
      <c r="P36" s="3"/>
      <c r="Q36" s="3"/>
      <c r="R36" s="3"/>
      <c r="S36" s="3"/>
      <c r="T36" s="3"/>
      <c r="U36" s="3"/>
      <c r="V36" s="3"/>
      <c r="W36" s="3"/>
      <c r="X36" s="3"/>
      <c r="Y36" s="3"/>
      <c r="Z36" s="3"/>
      <c r="AA36" s="3"/>
      <c r="AB36" s="3"/>
      <c r="AC36" s="3"/>
      <c r="AD36" s="3"/>
      <c r="AE36" s="3"/>
      <c r="AF36" s="3"/>
      <c r="AG36" s="3"/>
      <c r="AH36" s="3"/>
      <c r="AI36" s="3"/>
      <c r="AJ36" s="3"/>
      <c r="AK36" s="3"/>
      <c r="AL36" s="3"/>
      <c r="AM36" s="3"/>
      <c r="AN36" s="3"/>
      <c r="AO36" s="3"/>
      <c r="AP36" s="3"/>
      <c r="AQ36" s="3"/>
      <c r="AR36" s="3"/>
      <c r="AS36" s="3"/>
      <c r="AT36" s="3"/>
      <c r="AU36" s="3"/>
      <c r="AV36" s="3"/>
      <c r="AW36" s="3"/>
      <c r="AX36" s="3"/>
      <c r="AY36" s="3"/>
      <c r="AZ36" s="3"/>
      <c r="BA36" s="3"/>
      <c r="BB36" s="3"/>
      <c r="BC36" s="3"/>
      <c r="BD36" s="3"/>
      <c r="BE36" s="3"/>
      <c r="BF36" s="3"/>
      <c r="BG36" s="3"/>
      <c r="BH36" s="3"/>
      <c r="BI36" s="3"/>
      <c r="BJ36" s="3"/>
      <c r="BK36" s="3"/>
      <c r="BL36" s="3"/>
      <c r="BM36" s="3"/>
      <c r="BN36" s="3"/>
      <c r="BO36" s="3"/>
      <c r="BP36" s="3"/>
      <c r="BQ36" s="3"/>
      <c r="BR36" s="3"/>
      <c r="BS36" s="3"/>
      <c r="BT36" s="3"/>
      <c r="BU36" s="3"/>
      <c r="BV36" s="3"/>
      <c r="BW36" s="3"/>
      <c r="BX36" s="3"/>
      <c r="BY36" s="3"/>
      <c r="BZ36" s="3"/>
      <c r="CA36" s="3"/>
      <c r="CB36" s="3"/>
      <c r="CC36" s="3"/>
      <c r="CD36" s="3"/>
      <c r="CE36" s="3"/>
      <c r="CF36" s="3"/>
      <c r="CG36" s="3"/>
      <c r="CH36" s="3"/>
      <c r="CI36" s="3"/>
      <c r="CJ36" s="3"/>
      <c r="CK36" s="3"/>
      <c r="CL36" s="3"/>
      <c r="CM36" s="3"/>
      <c r="CN36" s="3"/>
      <c r="CO36" s="3"/>
      <c r="CP36" s="3"/>
      <c r="CQ36" s="3"/>
      <c r="CR36" s="3"/>
      <c r="CS36" s="3"/>
      <c r="CT36" s="3"/>
      <c r="CU36" s="3"/>
      <c r="CV36" s="3"/>
      <c r="CW36" s="3"/>
      <c r="CX36" s="3"/>
      <c r="CY36" s="3"/>
      <c r="CZ36" s="3"/>
      <c r="DA36" s="3"/>
      <c r="DB36" s="3"/>
      <c r="DC36" s="3"/>
      <c r="DD36" s="3"/>
      <c r="DE36" s="3"/>
      <c r="DF36" s="3"/>
      <c r="DG36" s="3"/>
      <c r="DH36" s="3"/>
      <c r="DI36" s="3"/>
      <c r="DJ36" s="3"/>
      <c r="DK36" s="3"/>
      <c r="DL36" s="3"/>
      <c r="DM36" s="3"/>
      <c r="DN36" s="3"/>
      <c r="DO36" s="3"/>
      <c r="DP36" s="3"/>
      <c r="DQ36" s="3"/>
      <c r="DR36" s="3"/>
      <c r="DS36" s="3"/>
      <c r="DT36" s="3"/>
      <c r="DU36" s="3"/>
      <c r="DV36" s="3"/>
      <c r="DW36" s="3"/>
      <c r="DX36" s="3"/>
      <c r="DY36" s="3"/>
      <c r="DZ36" s="3"/>
      <c r="EA36" s="3"/>
      <c r="EB36" s="3"/>
      <c r="EC36" s="3"/>
      <c r="ED36" s="3"/>
      <c r="EE36" s="3"/>
      <c r="EF36" s="3"/>
      <c r="EG36" s="3"/>
      <c r="EH36" s="3"/>
      <c r="EI36" s="3"/>
      <c r="EJ36" s="3"/>
      <c r="EK36" s="3"/>
      <c r="EL36" s="3"/>
      <c r="EM36" s="3"/>
      <c r="EN36" s="3"/>
      <c r="EO36" s="3"/>
      <c r="EP36" s="3"/>
      <c r="EQ36" s="3"/>
      <c r="ER36" s="3"/>
      <c r="ES36" s="3"/>
      <c r="ET36" s="3"/>
      <c r="EU36" s="3"/>
      <c r="EV36" s="3"/>
      <c r="EW36" s="3"/>
      <c r="EX36" s="3"/>
      <c r="EY36" s="3"/>
      <c r="EZ36" s="3"/>
      <c r="FA36" s="3"/>
      <c r="FB36" s="3"/>
    </row>
    <row r="37" spans="1:158" x14ac:dyDescent="0.25">
      <c r="A37" s="3"/>
      <c r="B37" s="3"/>
      <c r="C37" s="3"/>
      <c r="D37" s="3"/>
      <c r="E37" s="3"/>
      <c r="F37" s="3"/>
      <c r="G37" s="3"/>
      <c r="H37" s="3"/>
      <c r="I37" s="3"/>
      <c r="J37" s="3"/>
      <c r="K37" s="3"/>
      <c r="L37" s="3"/>
      <c r="M37" s="3"/>
      <c r="N37" s="3"/>
      <c r="O37" s="3"/>
      <c r="P37" s="3"/>
      <c r="Q37" s="3"/>
      <c r="R37" s="3"/>
      <c r="S37" s="3"/>
      <c r="T37" s="3"/>
      <c r="U37" s="3"/>
      <c r="V37" s="3"/>
      <c r="W37" s="3"/>
      <c r="X37" s="3"/>
      <c r="Y37" s="3"/>
      <c r="Z37" s="3"/>
      <c r="AA37" s="3"/>
      <c r="AB37" s="3"/>
      <c r="AC37" s="3"/>
      <c r="AD37" s="3"/>
      <c r="AE37" s="3"/>
      <c r="AF37" s="3"/>
      <c r="AG37" s="3"/>
      <c r="AH37" s="3"/>
      <c r="AI37" s="3"/>
      <c r="AJ37" s="3"/>
      <c r="AK37" s="3"/>
      <c r="AL37" s="3"/>
      <c r="AM37" s="3"/>
      <c r="AN37" s="3"/>
      <c r="AO37" s="3"/>
      <c r="AP37" s="3"/>
      <c r="AQ37" s="3"/>
      <c r="AR37" s="3"/>
      <c r="AS37" s="3"/>
      <c r="AT37" s="3"/>
      <c r="AU37" s="3"/>
      <c r="AV37" s="3"/>
      <c r="AW37" s="3"/>
      <c r="AX37" s="3"/>
      <c r="AY37" s="3"/>
      <c r="AZ37" s="3"/>
      <c r="BA37" s="3"/>
      <c r="BB37" s="3"/>
      <c r="BC37" s="3"/>
      <c r="BD37" s="3"/>
      <c r="BE37" s="3"/>
      <c r="BF37" s="3"/>
      <c r="BG37" s="3"/>
      <c r="BH37" s="3"/>
      <c r="BI37" s="3"/>
      <c r="BJ37" s="3"/>
      <c r="BK37" s="3"/>
      <c r="BL37" s="3"/>
      <c r="BM37" s="3"/>
      <c r="BN37" s="3"/>
      <c r="BO37" s="3"/>
      <c r="BP37" s="3"/>
      <c r="BQ37" s="3"/>
      <c r="BR37" s="3"/>
      <c r="BS37" s="3"/>
      <c r="BT37" s="3"/>
      <c r="BU37" s="3"/>
      <c r="BV37" s="3"/>
      <c r="BW37" s="3"/>
      <c r="BX37" s="3"/>
      <c r="BY37" s="3"/>
      <c r="BZ37" s="3"/>
      <c r="CA37" s="3"/>
      <c r="CB37" s="3"/>
      <c r="CC37" s="3"/>
      <c r="CD37" s="3"/>
      <c r="CE37" s="3"/>
      <c r="CF37" s="3"/>
      <c r="CG37" s="3"/>
      <c r="CH37" s="3"/>
      <c r="CI37" s="3"/>
      <c r="CJ37" s="3"/>
      <c r="CK37" s="3"/>
      <c r="CL37" s="3"/>
      <c r="CM37" s="3"/>
      <c r="CN37" s="3"/>
      <c r="CO37" s="3"/>
      <c r="CP37" s="3"/>
      <c r="CQ37" s="3"/>
      <c r="CR37" s="3"/>
      <c r="CS37" s="3"/>
      <c r="CT37" s="3"/>
      <c r="CU37" s="3"/>
      <c r="CV37" s="3"/>
      <c r="CW37" s="3"/>
      <c r="CX37" s="3"/>
      <c r="CY37" s="3"/>
      <c r="CZ37" s="3"/>
      <c r="DA37" s="3"/>
      <c r="DB37" s="3"/>
      <c r="DC37" s="3"/>
      <c r="DD37" s="3"/>
      <c r="DE37" s="3"/>
      <c r="DF37" s="3"/>
      <c r="DG37" s="3"/>
      <c r="DH37" s="3"/>
      <c r="DI37" s="3"/>
      <c r="DJ37" s="3"/>
      <c r="DK37" s="3"/>
      <c r="DL37" s="3"/>
      <c r="DM37" s="3"/>
      <c r="DN37" s="3"/>
      <c r="DO37" s="3"/>
      <c r="DP37" s="3"/>
      <c r="DQ37" s="3"/>
      <c r="DR37" s="3"/>
      <c r="DS37" s="3"/>
      <c r="DT37" s="3"/>
      <c r="DU37" s="3"/>
      <c r="DV37" s="3"/>
      <c r="DW37" s="3"/>
      <c r="DX37" s="3"/>
      <c r="DY37" s="3"/>
      <c r="DZ37" s="3"/>
      <c r="EA37" s="3"/>
      <c r="EB37" s="3"/>
      <c r="EC37" s="3"/>
      <c r="ED37" s="3"/>
      <c r="EE37" s="3"/>
      <c r="EF37" s="3"/>
      <c r="EG37" s="3"/>
      <c r="EH37" s="3"/>
      <c r="EI37" s="3"/>
      <c r="EJ37" s="3"/>
      <c r="EK37" s="3"/>
      <c r="EL37" s="3"/>
      <c r="EM37" s="3"/>
      <c r="EN37" s="3"/>
      <c r="EO37" s="3"/>
      <c r="EP37" s="3"/>
      <c r="EQ37" s="3"/>
      <c r="ER37" s="3"/>
      <c r="ES37" s="3"/>
      <c r="ET37" s="3"/>
      <c r="EU37" s="3"/>
      <c r="EV37" s="3"/>
      <c r="EW37" s="3"/>
      <c r="EX37" s="3"/>
      <c r="EY37" s="3"/>
      <c r="EZ37" s="3"/>
      <c r="FA37" s="3"/>
      <c r="FB37" s="3"/>
    </row>
    <row r="38" spans="1:158" x14ac:dyDescent="0.25">
      <c r="A38" s="3"/>
      <c r="B38" s="3"/>
      <c r="C38" s="3"/>
      <c r="D38" s="3"/>
      <c r="E38" s="3"/>
      <c r="F38" s="3"/>
      <c r="G38" s="3"/>
      <c r="H38" s="3"/>
      <c r="I38" s="3"/>
      <c r="J38" s="3"/>
      <c r="K38" s="3"/>
      <c r="L38" s="3"/>
      <c r="M38" s="3"/>
      <c r="N38" s="3"/>
      <c r="O38" s="3"/>
      <c r="P38" s="3"/>
      <c r="Q38" s="3"/>
      <c r="R38" s="3"/>
      <c r="S38" s="3"/>
      <c r="T38" s="3"/>
      <c r="U38" s="3"/>
      <c r="V38" s="3"/>
      <c r="W38" s="3"/>
      <c r="X38" s="3"/>
      <c r="Y38" s="3"/>
      <c r="Z38" s="3"/>
      <c r="AA38" s="3"/>
      <c r="AB38" s="3"/>
      <c r="AC38" s="3"/>
      <c r="AD38" s="3"/>
      <c r="AE38" s="3"/>
      <c r="AF38" s="3"/>
      <c r="AG38" s="3"/>
      <c r="AH38" s="3"/>
      <c r="AI38" s="3"/>
      <c r="AJ38" s="3"/>
      <c r="AK38" s="3"/>
      <c r="AL38" s="3"/>
      <c r="AM38" s="3"/>
      <c r="AN38" s="3"/>
      <c r="AO38" s="3"/>
      <c r="AP38" s="3"/>
      <c r="AQ38" s="3"/>
      <c r="AR38" s="3"/>
      <c r="AS38" s="3"/>
      <c r="AT38" s="3"/>
      <c r="AU38" s="3"/>
      <c r="AV38" s="3"/>
      <c r="AW38" s="3"/>
      <c r="AX38" s="3"/>
      <c r="AY38" s="3"/>
      <c r="AZ38" s="3"/>
      <c r="BA38" s="3"/>
      <c r="BB38" s="3"/>
      <c r="BC38" s="3"/>
      <c r="BD38" s="3"/>
      <c r="BE38" s="3"/>
      <c r="BF38" s="3"/>
      <c r="BG38" s="3"/>
      <c r="BH38" s="3"/>
      <c r="BI38" s="3"/>
      <c r="BJ38" s="3"/>
      <c r="BK38" s="3"/>
      <c r="BL38" s="3"/>
      <c r="BM38" s="3"/>
      <c r="BN38" s="3"/>
      <c r="BO38" s="3"/>
      <c r="BP38" s="3"/>
      <c r="BQ38" s="3"/>
      <c r="BR38" s="3"/>
      <c r="BS38" s="3"/>
      <c r="BT38" s="3"/>
      <c r="BU38" s="3"/>
      <c r="BV38" s="3"/>
      <c r="BW38" s="3"/>
      <c r="BX38" s="3"/>
      <c r="BY38" s="3"/>
      <c r="BZ38" s="3"/>
      <c r="CA38" s="3"/>
      <c r="CB38" s="3"/>
      <c r="CC38" s="3"/>
      <c r="CD38" s="3"/>
      <c r="CE38" s="3"/>
      <c r="CF38" s="3"/>
      <c r="CG38" s="3"/>
      <c r="CH38" s="3"/>
      <c r="CI38" s="3"/>
      <c r="CJ38" s="3"/>
      <c r="CK38" s="3"/>
      <c r="CL38" s="3"/>
      <c r="CM38" s="3"/>
      <c r="CN38" s="3"/>
      <c r="CO38" s="3"/>
      <c r="CP38" s="3"/>
      <c r="CQ38" s="3"/>
      <c r="CR38" s="3"/>
      <c r="CS38" s="3"/>
      <c r="CT38" s="3"/>
      <c r="CU38" s="3"/>
      <c r="CV38" s="3"/>
      <c r="CW38" s="3"/>
      <c r="CX38" s="3"/>
      <c r="CY38" s="3"/>
      <c r="CZ38" s="3"/>
      <c r="DA38" s="3"/>
      <c r="DB38" s="3"/>
      <c r="DC38" s="3"/>
      <c r="DD38" s="3"/>
      <c r="DE38" s="3"/>
      <c r="DF38" s="3"/>
      <c r="DG38" s="3"/>
      <c r="DH38" s="3"/>
      <c r="DI38" s="3"/>
      <c r="DJ38" s="3"/>
      <c r="DK38" s="3"/>
      <c r="DL38" s="3"/>
      <c r="DM38" s="3"/>
      <c r="DN38" s="3"/>
      <c r="DO38" s="3"/>
      <c r="DP38" s="3"/>
      <c r="DQ38" s="3"/>
      <c r="DR38" s="3"/>
      <c r="DS38" s="3"/>
      <c r="DT38" s="3"/>
      <c r="DU38" s="3"/>
      <c r="DV38" s="3"/>
      <c r="DW38" s="3"/>
      <c r="DX38" s="3"/>
      <c r="DY38" s="3"/>
      <c r="DZ38" s="3"/>
      <c r="EA38" s="3"/>
      <c r="EB38" s="3"/>
      <c r="EC38" s="3"/>
      <c r="ED38" s="3"/>
      <c r="EE38" s="3"/>
      <c r="EF38" s="3"/>
      <c r="EG38" s="3"/>
      <c r="EH38" s="3"/>
      <c r="EI38" s="3"/>
      <c r="EJ38" s="3"/>
      <c r="EK38" s="3"/>
      <c r="EL38" s="3"/>
      <c r="EM38" s="3"/>
      <c r="EN38" s="3"/>
      <c r="EO38" s="3"/>
      <c r="EP38" s="3"/>
      <c r="EQ38" s="3"/>
      <c r="ER38" s="3"/>
      <c r="ES38" s="3"/>
      <c r="ET38" s="3"/>
      <c r="EU38" s="3"/>
      <c r="EV38" s="3"/>
      <c r="EW38" s="3"/>
      <c r="EX38" s="3"/>
      <c r="EY38" s="3"/>
      <c r="EZ38" s="3"/>
      <c r="FA38" s="3"/>
      <c r="FB38" s="3"/>
    </row>
    <row r="39" spans="1:158" x14ac:dyDescent="0.25">
      <c r="A39" s="3"/>
      <c r="B39" s="3"/>
      <c r="C39" s="3"/>
      <c r="D39" s="3"/>
      <c r="E39" s="3"/>
      <c r="F39" s="3"/>
      <c r="G39" s="3"/>
      <c r="H39" s="3"/>
      <c r="I39" s="3"/>
      <c r="J39" s="3"/>
      <c r="K39" s="3"/>
      <c r="L39" s="3"/>
      <c r="M39" s="3"/>
      <c r="N39" s="3"/>
      <c r="O39" s="3"/>
      <c r="P39" s="3"/>
      <c r="Q39" s="3"/>
      <c r="R39" s="3"/>
      <c r="S39" s="3"/>
      <c r="T39" s="3"/>
      <c r="U39" s="3"/>
      <c r="V39" s="3"/>
      <c r="W39" s="3"/>
      <c r="X39" s="3"/>
      <c r="Y39" s="3"/>
      <c r="Z39" s="3"/>
      <c r="AA39" s="3"/>
      <c r="AB39" s="3"/>
      <c r="AC39" s="3"/>
      <c r="AD39" s="3"/>
      <c r="AE39" s="3"/>
      <c r="AF39" s="3"/>
      <c r="AG39" s="3"/>
      <c r="AH39" s="3"/>
      <c r="AI39" s="3"/>
      <c r="AJ39" s="3"/>
      <c r="AK39" s="3"/>
      <c r="AL39" s="3"/>
      <c r="AM39" s="3"/>
      <c r="AN39" s="3"/>
      <c r="AO39" s="3"/>
      <c r="AP39" s="3"/>
      <c r="AQ39" s="3"/>
      <c r="AR39" s="3"/>
      <c r="AS39" s="3"/>
      <c r="AT39" s="3"/>
      <c r="AU39" s="3"/>
      <c r="AV39" s="3"/>
      <c r="AW39" s="3"/>
      <c r="AX39" s="3"/>
      <c r="AY39" s="3"/>
      <c r="AZ39" s="3"/>
      <c r="BA39" s="3"/>
      <c r="BB39" s="3"/>
      <c r="BC39" s="3"/>
      <c r="BD39" s="3"/>
      <c r="BE39" s="3"/>
      <c r="BF39" s="3"/>
      <c r="BG39" s="3"/>
      <c r="BH39" s="3"/>
      <c r="BI39" s="3"/>
      <c r="BJ39" s="3"/>
      <c r="BK39" s="3"/>
      <c r="BL39" s="3"/>
      <c r="BM39" s="3"/>
      <c r="BN39" s="3"/>
      <c r="BO39" s="3"/>
      <c r="BP39" s="3"/>
      <c r="BQ39" s="3"/>
      <c r="BR39" s="3"/>
      <c r="BS39" s="3"/>
      <c r="BT39" s="3"/>
      <c r="BU39" s="3"/>
      <c r="BV39" s="3"/>
      <c r="BW39" s="3"/>
      <c r="BX39" s="3"/>
      <c r="BY39" s="3"/>
      <c r="BZ39" s="3"/>
      <c r="CA39" s="3"/>
      <c r="CB39" s="3"/>
      <c r="CC39" s="3"/>
      <c r="CD39" s="3"/>
      <c r="CE39" s="3"/>
      <c r="CF39" s="3"/>
      <c r="CG39" s="3"/>
      <c r="CH39" s="3"/>
      <c r="CI39" s="3"/>
      <c r="CJ39" s="3"/>
      <c r="CK39" s="3"/>
      <c r="CL39" s="3"/>
      <c r="CM39" s="3"/>
      <c r="CN39" s="3"/>
      <c r="CO39" s="3"/>
      <c r="CP39" s="3"/>
      <c r="CQ39" s="3"/>
      <c r="CR39" s="3"/>
      <c r="CS39" s="3"/>
      <c r="CT39" s="3"/>
      <c r="CU39" s="3"/>
      <c r="CV39" s="3"/>
      <c r="CW39" s="3"/>
      <c r="CX39" s="3"/>
      <c r="CY39" s="3"/>
      <c r="CZ39" s="3"/>
      <c r="DA39" s="3"/>
      <c r="DB39" s="3"/>
      <c r="DC39" s="3"/>
      <c r="DD39" s="3"/>
      <c r="DE39" s="3"/>
      <c r="DF39" s="3"/>
      <c r="DG39" s="3"/>
      <c r="DH39" s="3"/>
      <c r="DI39" s="3"/>
      <c r="DJ39" s="3"/>
      <c r="DK39" s="3"/>
      <c r="DL39" s="3"/>
      <c r="DM39" s="3"/>
      <c r="DN39" s="3"/>
      <c r="DO39" s="3"/>
      <c r="DP39" s="3"/>
      <c r="DQ39" s="3"/>
      <c r="DR39" s="3"/>
      <c r="DS39" s="3"/>
      <c r="DT39" s="3"/>
      <c r="DU39" s="3"/>
      <c r="DV39" s="3"/>
      <c r="DW39" s="3"/>
      <c r="DX39" s="3"/>
      <c r="DY39" s="3"/>
      <c r="DZ39" s="3"/>
      <c r="EA39" s="3"/>
      <c r="EB39" s="3"/>
      <c r="EC39" s="3"/>
      <c r="ED39" s="3"/>
      <c r="EE39" s="3"/>
      <c r="EF39" s="3"/>
      <c r="EG39" s="3"/>
      <c r="EH39" s="3"/>
      <c r="EI39" s="3"/>
      <c r="EJ39" s="3"/>
      <c r="EK39" s="3"/>
      <c r="EL39" s="3"/>
      <c r="EM39" s="3"/>
      <c r="EN39" s="3"/>
      <c r="EO39" s="3"/>
      <c r="EP39" s="3"/>
      <c r="EQ39" s="3"/>
      <c r="ER39" s="3"/>
      <c r="ES39" s="3"/>
      <c r="ET39" s="3"/>
      <c r="EU39" s="3"/>
      <c r="EV39" s="3"/>
      <c r="EW39" s="3"/>
      <c r="EX39" s="3"/>
      <c r="EY39" s="3"/>
      <c r="EZ39" s="3"/>
      <c r="FA39" s="3"/>
      <c r="FB39" s="3"/>
    </row>
    <row r="40" spans="1:158" x14ac:dyDescent="0.25">
      <c r="A40" s="3"/>
      <c r="B40" s="3"/>
      <c r="C40" s="3"/>
      <c r="D40" s="3"/>
      <c r="E40" s="3"/>
      <c r="F40" s="3"/>
      <c r="G40" s="3"/>
      <c r="H40" s="3"/>
      <c r="I40" s="3"/>
      <c r="J40" s="3"/>
      <c r="K40" s="3"/>
      <c r="L40" s="3"/>
      <c r="M40" s="3"/>
      <c r="N40" s="3"/>
      <c r="O40" s="3"/>
      <c r="P40" s="3"/>
      <c r="Q40" s="3"/>
      <c r="R40" s="3"/>
      <c r="S40" s="3"/>
      <c r="T40" s="3"/>
      <c r="U40" s="3"/>
      <c r="V40" s="3"/>
      <c r="W40" s="3"/>
      <c r="X40" s="3"/>
      <c r="Y40" s="3"/>
      <c r="Z40" s="3"/>
      <c r="AA40" s="3"/>
      <c r="AB40" s="3"/>
      <c r="AC40" s="3"/>
      <c r="AD40" s="3"/>
      <c r="AE40" s="3"/>
      <c r="AF40" s="3"/>
      <c r="AG40" s="3"/>
      <c r="AH40" s="3"/>
      <c r="AI40" s="3"/>
      <c r="AJ40" s="3"/>
      <c r="AK40" s="3"/>
      <c r="AL40" s="3"/>
      <c r="AM40" s="3"/>
      <c r="AN40" s="3"/>
      <c r="AO40" s="3"/>
      <c r="AP40" s="3"/>
      <c r="AQ40" s="3"/>
      <c r="AR40" s="3"/>
      <c r="AS40" s="3"/>
      <c r="AT40" s="3"/>
      <c r="AU40" s="3"/>
      <c r="AV40" s="3"/>
      <c r="AW40" s="3"/>
      <c r="AX40" s="3"/>
      <c r="AY40" s="3"/>
      <c r="AZ40" s="3"/>
      <c r="BA40" s="3"/>
      <c r="BB40" s="3"/>
      <c r="BC40" s="3"/>
      <c r="BD40" s="3"/>
      <c r="BE40" s="3"/>
      <c r="BF40" s="3"/>
      <c r="BG40" s="3"/>
      <c r="BH40" s="3"/>
      <c r="BI40" s="3"/>
      <c r="BJ40" s="3"/>
      <c r="BK40" s="3"/>
      <c r="BL40" s="3"/>
      <c r="BM40" s="3"/>
      <c r="BN40" s="3"/>
      <c r="BO40" s="3"/>
      <c r="BP40" s="3"/>
      <c r="BQ40" s="3"/>
      <c r="BR40" s="3"/>
      <c r="BS40" s="3"/>
      <c r="BT40" s="3"/>
      <c r="BU40" s="3"/>
      <c r="BV40" s="3"/>
      <c r="BW40" s="3"/>
      <c r="BX40" s="3"/>
      <c r="BY40" s="3"/>
      <c r="BZ40" s="3"/>
      <c r="CA40" s="3"/>
      <c r="CB40" s="3"/>
      <c r="CC40" s="3"/>
      <c r="CD40" s="3"/>
      <c r="CE40" s="3"/>
      <c r="CF40" s="3"/>
      <c r="CG40" s="3"/>
      <c r="CH40" s="3"/>
      <c r="CI40" s="3"/>
      <c r="CJ40" s="3"/>
      <c r="CK40" s="3"/>
      <c r="CL40" s="3"/>
      <c r="CM40" s="3"/>
      <c r="CN40" s="3"/>
      <c r="CO40" s="3"/>
      <c r="CP40" s="3"/>
      <c r="CQ40" s="3"/>
      <c r="CR40" s="3"/>
      <c r="CS40" s="3"/>
      <c r="CT40" s="3"/>
      <c r="CU40" s="3"/>
      <c r="CV40" s="3"/>
      <c r="CW40" s="3"/>
      <c r="CX40" s="3"/>
      <c r="CY40" s="3"/>
      <c r="CZ40" s="3"/>
      <c r="DA40" s="3"/>
      <c r="DB40" s="3"/>
      <c r="DC40" s="3"/>
      <c r="DD40" s="3"/>
      <c r="DE40" s="3"/>
      <c r="DF40" s="3"/>
      <c r="DG40" s="3"/>
      <c r="DH40" s="3"/>
      <c r="DI40" s="3"/>
      <c r="DJ40" s="3"/>
      <c r="DK40" s="3"/>
      <c r="DL40" s="3"/>
      <c r="DM40" s="3"/>
      <c r="DN40" s="3"/>
      <c r="DO40" s="3"/>
      <c r="DP40" s="3"/>
      <c r="DQ40" s="3"/>
      <c r="DR40" s="3"/>
      <c r="DS40" s="3"/>
      <c r="DT40" s="3"/>
      <c r="DU40" s="3"/>
      <c r="DV40" s="3"/>
      <c r="DW40" s="3"/>
      <c r="DX40" s="3"/>
      <c r="DY40" s="3"/>
      <c r="DZ40" s="3"/>
      <c r="EA40" s="3"/>
      <c r="EB40" s="3"/>
      <c r="EC40" s="3"/>
      <c r="ED40" s="3"/>
      <c r="EE40" s="3"/>
      <c r="EF40" s="3"/>
      <c r="EG40" s="3"/>
      <c r="EH40" s="3"/>
      <c r="EI40" s="3"/>
      <c r="EJ40" s="3"/>
      <c r="EK40" s="3"/>
      <c r="EL40" s="3"/>
      <c r="EM40" s="3"/>
      <c r="EN40" s="3"/>
      <c r="EO40" s="3"/>
      <c r="EP40" s="3"/>
      <c r="EQ40" s="3"/>
      <c r="ER40" s="3"/>
      <c r="ES40" s="3"/>
      <c r="ET40" s="3"/>
      <c r="EU40" s="3"/>
      <c r="EV40" s="3"/>
      <c r="EW40" s="3"/>
      <c r="EX40" s="3"/>
      <c r="EY40" s="3"/>
      <c r="EZ40" s="3"/>
      <c r="FA40" s="3"/>
      <c r="FB40" s="3"/>
    </row>
    <row r="41" spans="1:158" x14ac:dyDescent="0.25">
      <c r="A41" s="3"/>
      <c r="B41" s="3"/>
      <c r="C41" s="3"/>
      <c r="D41" s="3"/>
      <c r="E41" s="3"/>
      <c r="F41" s="3"/>
      <c r="G41" s="3"/>
      <c r="H41" s="3"/>
      <c r="I41" s="3"/>
      <c r="J41" s="3"/>
      <c r="K41" s="3"/>
      <c r="L41" s="3"/>
      <c r="M41" s="3"/>
      <c r="N41" s="3"/>
      <c r="O41" s="3"/>
      <c r="P41" s="3"/>
      <c r="Q41" s="3"/>
      <c r="R41" s="3"/>
      <c r="S41" s="3"/>
      <c r="T41" s="3"/>
      <c r="U41" s="3"/>
      <c r="V41" s="3"/>
      <c r="W41" s="3"/>
      <c r="X41" s="3"/>
      <c r="Y41" s="3"/>
      <c r="Z41" s="3"/>
      <c r="AA41" s="3"/>
      <c r="AB41" s="3"/>
      <c r="AC41" s="3"/>
      <c r="AD41" s="3"/>
      <c r="AE41" s="3"/>
      <c r="AF41" s="3"/>
      <c r="AG41" s="3"/>
      <c r="AH41" s="3"/>
      <c r="AI41" s="3"/>
      <c r="AJ41" s="3"/>
      <c r="AK41" s="3"/>
      <c r="AL41" s="3"/>
      <c r="AM41" s="3"/>
      <c r="AN41" s="3"/>
      <c r="AO41" s="3"/>
      <c r="AP41" s="3"/>
      <c r="AQ41" s="3"/>
      <c r="AR41" s="3"/>
      <c r="AS41" s="3"/>
      <c r="AT41" s="3"/>
      <c r="AU41" s="3"/>
      <c r="AV41" s="3"/>
      <c r="AW41" s="3"/>
      <c r="AX41" s="3"/>
      <c r="AY41" s="3"/>
      <c r="AZ41" s="3"/>
      <c r="BA41" s="3"/>
      <c r="BB41" s="3"/>
      <c r="BC41" s="3"/>
      <c r="BD41" s="3"/>
      <c r="BE41" s="3"/>
      <c r="BF41" s="3"/>
      <c r="BG41" s="3"/>
      <c r="BH41" s="3"/>
      <c r="BI41" s="3"/>
      <c r="BJ41" s="3"/>
      <c r="BK41" s="3"/>
      <c r="BL41" s="3"/>
      <c r="BM41" s="3"/>
      <c r="BN41" s="3"/>
      <c r="BO41" s="3"/>
      <c r="BP41" s="3"/>
      <c r="BQ41" s="3"/>
      <c r="BR41" s="3"/>
      <c r="BS41" s="3"/>
      <c r="BT41" s="3"/>
      <c r="BU41" s="3"/>
      <c r="BV41" s="3"/>
      <c r="BW41" s="3"/>
      <c r="BX41" s="3"/>
      <c r="BY41" s="3"/>
      <c r="BZ41" s="3"/>
      <c r="CA41" s="3"/>
      <c r="CB41" s="3"/>
      <c r="CC41" s="3"/>
      <c r="CD41" s="3"/>
      <c r="CE41" s="3"/>
      <c r="CF41" s="3"/>
      <c r="CG41" s="3"/>
      <c r="CH41" s="3"/>
      <c r="CI41" s="3"/>
      <c r="CJ41" s="3"/>
      <c r="CK41" s="3"/>
      <c r="CL41" s="3"/>
      <c r="CM41" s="3"/>
      <c r="CN41" s="3"/>
      <c r="CO41" s="3"/>
      <c r="CP41" s="3"/>
      <c r="CQ41" s="3"/>
      <c r="CR41" s="3"/>
      <c r="CS41" s="3"/>
      <c r="CT41" s="3"/>
      <c r="CU41" s="3"/>
      <c r="CV41" s="3"/>
      <c r="CW41" s="3"/>
      <c r="CX41" s="3"/>
      <c r="CY41" s="3"/>
      <c r="CZ41" s="3"/>
      <c r="DA41" s="3"/>
      <c r="DB41" s="3"/>
      <c r="DC41" s="3"/>
      <c r="DD41" s="3"/>
      <c r="DE41" s="3"/>
      <c r="DF41" s="3"/>
      <c r="DG41" s="3"/>
      <c r="DH41" s="3"/>
      <c r="DI41" s="3"/>
      <c r="DJ41" s="3"/>
      <c r="DK41" s="3"/>
      <c r="DL41" s="3"/>
      <c r="DM41" s="3"/>
      <c r="DN41" s="3"/>
      <c r="DO41" s="3"/>
      <c r="DP41" s="3"/>
      <c r="DQ41" s="3"/>
      <c r="DR41" s="3"/>
      <c r="DS41" s="3"/>
      <c r="DT41" s="3"/>
      <c r="DU41" s="3"/>
      <c r="DV41" s="3"/>
      <c r="DW41" s="3"/>
      <c r="DX41" s="3"/>
      <c r="DY41" s="3"/>
      <c r="DZ41" s="3"/>
      <c r="EA41" s="3"/>
      <c r="EB41" s="3"/>
      <c r="EC41" s="3"/>
      <c r="ED41" s="3"/>
      <c r="EE41" s="3"/>
      <c r="EF41" s="3"/>
      <c r="EG41" s="3"/>
      <c r="EH41" s="3"/>
      <c r="EI41" s="3"/>
      <c r="EJ41" s="3"/>
      <c r="EK41" s="3"/>
      <c r="EL41" s="3"/>
      <c r="EM41" s="3"/>
      <c r="EN41" s="3"/>
      <c r="EO41" s="3"/>
      <c r="EP41" s="3"/>
      <c r="EQ41" s="3"/>
      <c r="ER41" s="3"/>
      <c r="ES41" s="3"/>
      <c r="ET41" s="3"/>
      <c r="EU41" s="3"/>
      <c r="EV41" s="3"/>
      <c r="EW41" s="3"/>
      <c r="EX41" s="3"/>
      <c r="EY41" s="3"/>
      <c r="EZ41" s="3"/>
      <c r="FA41" s="3"/>
      <c r="FB41" s="3"/>
    </row>
    <row r="42" spans="1:158" x14ac:dyDescent="0.25">
      <c r="A42" s="3"/>
      <c r="B42" s="3"/>
      <c r="C42" s="3"/>
      <c r="D42" s="3"/>
      <c r="E42" s="3"/>
      <c r="F42" s="3"/>
      <c r="G42" s="3"/>
      <c r="H42" s="3"/>
      <c r="I42" s="3"/>
      <c r="J42" s="3"/>
      <c r="K42" s="3"/>
      <c r="L42" s="3"/>
      <c r="M42" s="3"/>
      <c r="N42" s="3"/>
      <c r="O42" s="3"/>
      <c r="P42" s="3"/>
      <c r="Q42" s="3"/>
      <c r="R42" s="3"/>
      <c r="S42" s="3"/>
      <c r="T42" s="3"/>
      <c r="U42" s="3"/>
      <c r="V42" s="3"/>
      <c r="W42" s="3"/>
      <c r="X42" s="3"/>
      <c r="Y42" s="3"/>
      <c r="Z42" s="3"/>
      <c r="AA42" s="3"/>
      <c r="AB42" s="3"/>
      <c r="AC42" s="3"/>
      <c r="AD42" s="3"/>
      <c r="AE42" s="3"/>
      <c r="AF42" s="3"/>
      <c r="AG42" s="3"/>
      <c r="AH42" s="3"/>
      <c r="AI42" s="3"/>
      <c r="AJ42" s="3"/>
      <c r="AK42" s="3"/>
      <c r="AL42" s="3"/>
      <c r="AM42" s="3"/>
      <c r="AN42" s="3"/>
      <c r="AO42" s="3"/>
      <c r="AP42" s="3"/>
      <c r="AQ42" s="3"/>
      <c r="AR42" s="3"/>
      <c r="AS42" s="3"/>
      <c r="AT42" s="3"/>
      <c r="AU42" s="3"/>
      <c r="AV42" s="3"/>
      <c r="AW42" s="3"/>
      <c r="AX42" s="3"/>
      <c r="AY42" s="3"/>
      <c r="AZ42" s="3"/>
      <c r="BA42" s="3"/>
      <c r="BB42" s="3"/>
      <c r="BC42" s="3"/>
      <c r="BD42" s="3"/>
      <c r="BE42" s="3"/>
      <c r="BF42" s="3"/>
      <c r="BG42" s="3"/>
      <c r="BH42" s="3"/>
      <c r="BI42" s="3"/>
      <c r="BJ42" s="3"/>
      <c r="BK42" s="3"/>
      <c r="BL42" s="3"/>
      <c r="BM42" s="3"/>
      <c r="BN42" s="3"/>
      <c r="BO42" s="3"/>
      <c r="BP42" s="3"/>
      <c r="BQ42" s="3"/>
      <c r="BR42" s="3"/>
      <c r="BS42" s="3"/>
      <c r="BT42" s="3"/>
      <c r="BU42" s="3"/>
      <c r="BV42" s="3"/>
      <c r="BW42" s="3"/>
      <c r="BX42" s="3"/>
      <c r="BY42" s="3"/>
      <c r="BZ42" s="3"/>
      <c r="CA42" s="3"/>
      <c r="CB42" s="3"/>
      <c r="CC42" s="3"/>
      <c r="CD42" s="3"/>
      <c r="CE42" s="3"/>
      <c r="CF42" s="3"/>
      <c r="CG42" s="3"/>
      <c r="CH42" s="3"/>
      <c r="CI42" s="3"/>
      <c r="CJ42" s="3"/>
      <c r="CK42" s="3"/>
      <c r="CL42" s="3"/>
      <c r="CM42" s="3"/>
      <c r="CN42" s="3"/>
      <c r="CO42" s="3"/>
      <c r="CP42" s="3"/>
      <c r="CQ42" s="3"/>
      <c r="CR42" s="3"/>
      <c r="CS42" s="3"/>
      <c r="CT42" s="3"/>
      <c r="CU42" s="3"/>
      <c r="CV42" s="3"/>
      <c r="CW42" s="3"/>
      <c r="CX42" s="3"/>
      <c r="CY42" s="3"/>
      <c r="CZ42" s="3"/>
      <c r="DA42" s="3"/>
      <c r="DB42" s="3"/>
      <c r="DC42" s="3"/>
      <c r="DD42" s="3"/>
      <c r="DE42" s="3"/>
      <c r="DF42" s="3"/>
      <c r="DG42" s="3"/>
      <c r="DH42" s="3"/>
      <c r="DI42" s="3"/>
      <c r="DJ42" s="3"/>
      <c r="DK42" s="3"/>
      <c r="DL42" s="3"/>
      <c r="DM42" s="3"/>
      <c r="DN42" s="3"/>
      <c r="DO42" s="3"/>
      <c r="DP42" s="3"/>
      <c r="DQ42" s="3"/>
      <c r="DR42" s="3"/>
      <c r="DS42" s="3"/>
      <c r="DT42" s="3"/>
      <c r="DU42" s="3"/>
      <c r="DV42" s="3"/>
      <c r="DW42" s="3"/>
      <c r="DX42" s="3"/>
      <c r="DY42" s="3"/>
      <c r="DZ42" s="3"/>
      <c r="EA42" s="3"/>
      <c r="EB42" s="3"/>
      <c r="EC42" s="3"/>
      <c r="ED42" s="3"/>
      <c r="EE42" s="3"/>
      <c r="EF42" s="3"/>
      <c r="EG42" s="3"/>
      <c r="EH42" s="3"/>
      <c r="EI42" s="3"/>
      <c r="EJ42" s="3"/>
      <c r="EK42" s="3"/>
      <c r="EL42" s="3"/>
      <c r="EM42" s="3"/>
      <c r="EN42" s="3"/>
      <c r="EO42" s="3"/>
      <c r="EP42" s="3"/>
      <c r="EQ42" s="3"/>
      <c r="ER42" s="3"/>
      <c r="ES42" s="3"/>
      <c r="ET42" s="3"/>
      <c r="EU42" s="3"/>
      <c r="EV42" s="3"/>
      <c r="EW42" s="3"/>
      <c r="EX42" s="3"/>
      <c r="EY42" s="3"/>
      <c r="EZ42" s="3"/>
      <c r="FA42" s="3"/>
      <c r="FB42" s="3"/>
    </row>
    <row r="43" spans="1:158" x14ac:dyDescent="0.25">
      <c r="B43" s="3"/>
      <c r="C43" s="3"/>
      <c r="D43" s="3"/>
      <c r="E43" s="3"/>
      <c r="F43" s="3"/>
      <c r="G43" s="3"/>
      <c r="H43" s="3"/>
      <c r="J43" s="3"/>
      <c r="K43" s="3"/>
      <c r="L43" s="3"/>
      <c r="M43" s="3"/>
      <c r="N43" s="3"/>
      <c r="O43" s="3"/>
      <c r="P43" s="3"/>
      <c r="Q43" s="3"/>
      <c r="R43" s="3"/>
      <c r="S43" s="3"/>
      <c r="U43" s="3"/>
      <c r="V43" s="3"/>
      <c r="W43" s="3"/>
      <c r="X43" s="3"/>
      <c r="Y43" s="3"/>
      <c r="Z43" s="3"/>
      <c r="AA43" s="3"/>
      <c r="AB43" s="3"/>
      <c r="AC43" s="3"/>
      <c r="AD43" s="3"/>
      <c r="AE43" s="3"/>
      <c r="AF43" s="3"/>
      <c r="AG43" s="3"/>
      <c r="AH43" s="3"/>
      <c r="AI43" s="3"/>
      <c r="AJ43" s="3"/>
      <c r="AK43" s="3"/>
      <c r="AL43" s="3"/>
      <c r="AM43" s="3"/>
      <c r="AN43" s="3"/>
      <c r="AO43" s="3"/>
      <c r="AP43" s="3"/>
      <c r="AQ43" s="3"/>
      <c r="AR43" s="3"/>
      <c r="AS43" s="3"/>
      <c r="AT43" s="3"/>
      <c r="AU43" s="3"/>
      <c r="AV43" s="3"/>
      <c r="AW43" s="3"/>
      <c r="AX43" s="3"/>
      <c r="AY43" s="3"/>
      <c r="AZ43" s="3"/>
      <c r="BA43" s="3"/>
      <c r="BB43" s="3"/>
      <c r="BC43" s="3"/>
      <c r="BD43" s="3"/>
      <c r="BE43" s="3"/>
      <c r="BF43" s="3"/>
      <c r="BG43" s="3"/>
      <c r="BH43" s="3"/>
      <c r="BI43" s="3"/>
      <c r="BJ43" s="3"/>
      <c r="BK43" s="3"/>
      <c r="BL43" s="3"/>
      <c r="BM43" s="3"/>
      <c r="BN43" s="3"/>
      <c r="BO43" s="3"/>
      <c r="BP43" s="3"/>
      <c r="BQ43" s="3"/>
      <c r="BR43" s="3"/>
      <c r="BS43" s="3"/>
      <c r="BT43" s="3"/>
      <c r="BU43" s="3"/>
      <c r="BV43" s="3"/>
      <c r="BW43" s="3"/>
      <c r="BX43" s="3"/>
      <c r="BY43" s="3"/>
      <c r="BZ43" s="3"/>
      <c r="CA43" s="3"/>
      <c r="CB43" s="3"/>
      <c r="CC43" s="3"/>
      <c r="CD43" s="3"/>
      <c r="CE43" s="3"/>
      <c r="CF43" s="3"/>
      <c r="CH43" s="3"/>
      <c r="CI43" s="3"/>
      <c r="CJ43" s="3"/>
      <c r="CK43" s="3"/>
      <c r="CL43" s="3"/>
      <c r="CM43" s="3"/>
      <c r="CN43" s="3"/>
      <c r="CO43" s="3"/>
      <c r="CP43" s="3"/>
      <c r="CQ43" s="3"/>
      <c r="CR43" s="3"/>
      <c r="CS43" s="3"/>
      <c r="CT43" s="3"/>
      <c r="CU43" s="3"/>
      <c r="CV43" s="3"/>
      <c r="CW43" s="3"/>
      <c r="CX43" s="3"/>
      <c r="CY43" s="3"/>
      <c r="CZ43" s="3"/>
      <c r="DA43" s="3"/>
      <c r="DB43" s="3"/>
      <c r="DC43" s="3"/>
      <c r="DD43" s="3"/>
      <c r="DE43" s="3"/>
      <c r="DF43" s="3"/>
      <c r="DG43" s="3"/>
      <c r="DH43" s="3"/>
      <c r="DI43" s="3"/>
      <c r="DJ43" s="3"/>
      <c r="DK43" s="3"/>
      <c r="DL43" s="3"/>
      <c r="DM43" s="3"/>
      <c r="DN43" s="3"/>
      <c r="DO43" s="3"/>
      <c r="DP43" s="3"/>
      <c r="DQ43" s="3"/>
      <c r="DR43" s="3"/>
      <c r="DS43" s="3"/>
      <c r="DT43" s="3"/>
      <c r="DU43" s="3"/>
      <c r="DV43" s="3"/>
      <c r="DW43" s="3"/>
      <c r="DX43" s="3"/>
      <c r="DY43" s="3"/>
      <c r="DZ43" s="3"/>
      <c r="EA43" s="3"/>
      <c r="EB43" s="3"/>
      <c r="EC43" s="3"/>
      <c r="ED43" s="3"/>
      <c r="EE43" s="3"/>
      <c r="EF43" s="3"/>
      <c r="EG43" s="3"/>
      <c r="EH43" s="3"/>
      <c r="EI43" s="3"/>
      <c r="EJ43" s="3"/>
      <c r="EK43" s="3"/>
      <c r="EL43" s="3"/>
      <c r="EM43" s="3"/>
      <c r="EN43" s="3"/>
      <c r="EO43" s="3"/>
      <c r="EP43" s="3"/>
      <c r="EQ43" s="3"/>
      <c r="ER43" s="3"/>
      <c r="ES43" s="3"/>
      <c r="EU43" s="3"/>
      <c r="EV43" s="3"/>
      <c r="EW43" s="3"/>
    </row>
    <row r="44" spans="1:158" x14ac:dyDescent="0.25">
      <c r="B44" s="3"/>
      <c r="C44" s="3"/>
      <c r="D44" s="3"/>
      <c r="E44" s="3"/>
      <c r="F44" s="3"/>
      <c r="G44" s="3"/>
      <c r="H44" s="3"/>
      <c r="J44" s="3"/>
      <c r="K44" s="3"/>
      <c r="L44" s="3"/>
      <c r="M44" s="3"/>
      <c r="N44" s="3"/>
      <c r="O44" s="3"/>
      <c r="P44" s="3"/>
      <c r="Q44" s="3"/>
      <c r="R44" s="3"/>
      <c r="S44" s="3"/>
      <c r="U44" s="3"/>
      <c r="V44" s="3"/>
      <c r="W44" s="3"/>
      <c r="X44" s="3"/>
      <c r="Y44" s="3"/>
      <c r="Z44" s="3"/>
      <c r="AA44" s="3"/>
      <c r="AB44" s="3"/>
      <c r="AC44" s="3"/>
      <c r="AD44" s="3"/>
      <c r="AE44" s="3"/>
      <c r="AF44" s="3"/>
      <c r="AG44" s="3"/>
      <c r="AH44" s="3"/>
      <c r="AI44" s="3"/>
      <c r="AJ44" s="3"/>
      <c r="AK44" s="3"/>
      <c r="AL44" s="3"/>
      <c r="AM44" s="3"/>
      <c r="AN44" s="3"/>
      <c r="AO44" s="3"/>
      <c r="AP44" s="3"/>
      <c r="AQ44" s="3"/>
      <c r="AR44" s="3"/>
      <c r="AS44" s="3"/>
      <c r="AT44" s="3"/>
      <c r="AU44" s="3"/>
      <c r="AV44" s="3"/>
      <c r="AW44" s="3"/>
      <c r="AX44" s="3"/>
      <c r="AY44" s="3"/>
      <c r="AZ44" s="3"/>
      <c r="BA44" s="3"/>
      <c r="BB44" s="3"/>
      <c r="BC44" s="3"/>
      <c r="BD44" s="3"/>
      <c r="BE44" s="3"/>
      <c r="BF44" s="3"/>
      <c r="BG44" s="3"/>
      <c r="BH44" s="3"/>
      <c r="BI44" s="3"/>
      <c r="BJ44" s="3"/>
      <c r="BK44" s="3"/>
      <c r="BL44" s="3"/>
      <c r="BM44" s="3"/>
      <c r="BN44" s="3"/>
      <c r="BO44" s="3"/>
      <c r="BP44" s="3"/>
      <c r="BQ44" s="3"/>
      <c r="BR44" s="3"/>
      <c r="BS44" s="3"/>
      <c r="BT44" s="3"/>
      <c r="BU44" s="3"/>
      <c r="BV44" s="3"/>
      <c r="BW44" s="3"/>
      <c r="BX44" s="3"/>
      <c r="BY44" s="3"/>
      <c r="BZ44" s="3"/>
      <c r="CA44" s="3"/>
      <c r="CB44" s="3"/>
      <c r="CC44" s="3"/>
      <c r="CD44" s="3"/>
      <c r="CE44" s="3"/>
      <c r="CF44" s="3"/>
      <c r="CH44" s="3"/>
      <c r="CI44" s="3"/>
      <c r="CJ44" s="3"/>
      <c r="CK44" s="3"/>
      <c r="CL44" s="3"/>
      <c r="CM44" s="3"/>
      <c r="CN44" s="3"/>
      <c r="CO44" s="3"/>
      <c r="CP44" s="3"/>
      <c r="CQ44" s="3"/>
      <c r="CR44" s="3"/>
      <c r="CS44" s="3"/>
      <c r="CT44" s="3"/>
      <c r="CU44" s="3"/>
      <c r="CV44" s="3"/>
      <c r="CW44" s="3"/>
      <c r="CX44" s="3"/>
      <c r="CY44" s="3"/>
      <c r="CZ44" s="3"/>
      <c r="DA44" s="3"/>
      <c r="DB44" s="3"/>
      <c r="DC44" s="3"/>
      <c r="DD44" s="3"/>
      <c r="DE44" s="3"/>
      <c r="DF44" s="3"/>
      <c r="DG44" s="3"/>
      <c r="DH44" s="3"/>
      <c r="DI44" s="3"/>
      <c r="DJ44" s="3"/>
      <c r="DK44" s="3"/>
      <c r="DL44" s="3"/>
      <c r="DM44" s="3"/>
      <c r="DN44" s="3"/>
      <c r="DO44" s="3"/>
      <c r="DP44" s="3"/>
      <c r="DQ44" s="3"/>
      <c r="DR44" s="3"/>
      <c r="DS44" s="3"/>
      <c r="DT44" s="3"/>
      <c r="DU44" s="3"/>
      <c r="DV44" s="3"/>
      <c r="DW44" s="3"/>
      <c r="DX44" s="3"/>
      <c r="DY44" s="3"/>
      <c r="DZ44" s="3"/>
      <c r="EA44" s="3"/>
      <c r="EB44" s="3"/>
      <c r="EC44" s="3"/>
      <c r="ED44" s="3"/>
      <c r="EE44" s="3"/>
      <c r="EF44" s="3"/>
      <c r="EG44" s="3"/>
      <c r="EH44" s="3"/>
      <c r="EI44" s="3"/>
      <c r="EJ44" s="3"/>
      <c r="EK44" s="3"/>
      <c r="EL44" s="3"/>
      <c r="EM44" s="3"/>
      <c r="EN44" s="3"/>
      <c r="EO44" s="3"/>
      <c r="EP44" s="3"/>
      <c r="EQ44" s="3"/>
      <c r="ER44" s="3"/>
      <c r="ES44" s="3"/>
      <c r="EU44" s="3"/>
      <c r="EV44" s="3"/>
      <c r="EW44" s="3"/>
    </row>
    <row r="45" spans="1:158" x14ac:dyDescent="0.25">
      <c r="U45" s="3"/>
      <c r="V45" s="3"/>
      <c r="W45" s="3"/>
      <c r="X45" s="3"/>
      <c r="Y45" s="3"/>
      <c r="Z45" s="3"/>
      <c r="AA45" s="3"/>
      <c r="AB45" s="3"/>
      <c r="AC45" s="3"/>
      <c r="AD45" s="3"/>
      <c r="AE45" s="3"/>
      <c r="AF45" s="3"/>
      <c r="AG45" s="3"/>
      <c r="AH45" s="3"/>
      <c r="AI45" s="3"/>
      <c r="AJ45" s="3"/>
      <c r="AK45" s="3"/>
      <c r="AL45" s="3"/>
      <c r="AM45" s="3"/>
      <c r="AN45" s="3"/>
      <c r="AO45" s="3"/>
      <c r="AP45" s="3"/>
      <c r="AQ45" s="3"/>
      <c r="AR45" s="3"/>
      <c r="AS45" s="3"/>
      <c r="AT45" s="3"/>
      <c r="AU45" s="3"/>
      <c r="AV45" s="3"/>
      <c r="AW45" s="3"/>
      <c r="AX45" s="3"/>
      <c r="AY45" s="3"/>
      <c r="AZ45" s="3"/>
      <c r="BA45" s="3"/>
      <c r="BB45" s="3"/>
      <c r="BC45" s="3"/>
      <c r="BD45" s="3"/>
      <c r="BE45" s="3"/>
      <c r="BF45" s="3"/>
      <c r="BG45" s="3"/>
      <c r="BH45" s="3"/>
      <c r="BI45" s="3"/>
      <c r="BJ45" s="3"/>
      <c r="BK45" s="3"/>
      <c r="BL45" s="3"/>
      <c r="BM45" s="3"/>
      <c r="BN45" s="3"/>
      <c r="BO45" s="3"/>
      <c r="BP45" s="3"/>
      <c r="BQ45" s="3"/>
      <c r="BR45" s="3"/>
      <c r="BS45" s="3"/>
      <c r="BT45" s="3"/>
      <c r="BU45" s="3"/>
      <c r="BV45" s="3"/>
      <c r="BW45" s="3"/>
      <c r="BX45" s="3"/>
      <c r="BY45" s="3"/>
      <c r="BZ45" s="3"/>
      <c r="CA45" s="3"/>
      <c r="CB45" s="3"/>
      <c r="CC45" s="3"/>
      <c r="CD45" s="3"/>
      <c r="CE45" s="3"/>
      <c r="CF45" s="3"/>
      <c r="EU45" s="3"/>
      <c r="EV45" s="3"/>
      <c r="EW45" s="3"/>
    </row>
  </sheetData>
  <sheetProtection algorithmName="SHA-512" hashValue="zmGbPu90kMQxLcWDcisHgBiIHQfh+vaMDX21AdAuOtzkvYl4RzAr4/qL9XhV8KUf7ONygo8J84qm3YG+1JpBmg==" saltValue="TckoxQJxCfqzL4KsQGVzbA==" spinCount="100000" sheet="1" objects="1" scenarios="1"/>
  <mergeCells count="16">
    <mergeCell ref="B24:C24"/>
    <mergeCell ref="D24:EU24"/>
    <mergeCell ref="D5:H5"/>
    <mergeCell ref="B5:C5"/>
    <mergeCell ref="J5:K5"/>
    <mergeCell ref="U5:V5"/>
    <mergeCell ref="CH5:CI5"/>
    <mergeCell ref="W5:AO5"/>
    <mergeCell ref="BI5:CA5"/>
    <mergeCell ref="AP5:BH5"/>
    <mergeCell ref="EU5:EW5"/>
    <mergeCell ref="DV5:EN5"/>
    <mergeCell ref="EO5:ER5"/>
    <mergeCell ref="CJ5:DB5"/>
    <mergeCell ref="CB5:CE5"/>
    <mergeCell ref="DC5:DU5"/>
  </mergeCells>
  <conditionalFormatting sqref="K7:K21">
    <cfRule type="expression" dxfId="33" priority="38">
      <formula>$P7</formula>
    </cfRule>
  </conditionalFormatting>
  <conditionalFormatting sqref="O7:O21">
    <cfRule type="expression" dxfId="32" priority="31">
      <formula>AND(O7,NOT(P7))</formula>
    </cfRule>
  </conditionalFormatting>
  <conditionalFormatting sqref="O7:P21">
    <cfRule type="expression" dxfId="31" priority="29">
      <formula>AND($O7,$P7)</formula>
    </cfRule>
  </conditionalFormatting>
  <conditionalFormatting sqref="DV7:EN17 BI7:CA21 DV21:EN21">
    <cfRule type="cellIs" dxfId="30" priority="27" operator="equal">
      <formula>"PATT"</formula>
    </cfRule>
    <cfRule type="cellIs" dxfId="29" priority="28" operator="equal">
      <formula>"SITZ"</formula>
    </cfRule>
  </conditionalFormatting>
  <conditionalFormatting sqref="AP7:BH21 DC7:DU21">
    <cfRule type="expression" dxfId="28" priority="25">
      <formula>(BI7="PATT")</formula>
    </cfRule>
    <cfRule type="expression" dxfId="27" priority="26">
      <formula>(BI7="SITZ")</formula>
    </cfRule>
  </conditionalFormatting>
  <conditionalFormatting sqref="W7:AO21 CJ7:DB21">
    <cfRule type="expression" dxfId="26" priority="22">
      <formula>(BI7="PATT")</formula>
    </cfRule>
    <cfRule type="expression" dxfId="25" priority="24">
      <formula>(BI7="SITZ")</formula>
    </cfRule>
  </conditionalFormatting>
  <conditionalFormatting sqref="EO7:EO17 CB7:CB17 CB21 EO21">
    <cfRule type="cellIs" dxfId="24" priority="21" operator="equal">
      <formula>TRUE</formula>
    </cfRule>
  </conditionalFormatting>
  <conditionalFormatting sqref="U7:V21">
    <cfRule type="expression" dxfId="23" priority="13">
      <formula>$CF7</formula>
    </cfRule>
  </conditionalFormatting>
  <conditionalFormatting sqref="CH7:CI21">
    <cfRule type="expression" dxfId="22" priority="11">
      <formula>$ES7</formula>
    </cfRule>
  </conditionalFormatting>
  <conditionalFormatting sqref="V7:V21">
    <cfRule type="expression" dxfId="21" priority="40">
      <formula>(CB7)</formula>
    </cfRule>
  </conditionalFormatting>
  <conditionalFormatting sqref="CI7:CI21">
    <cfRule type="expression" dxfId="20" priority="37">
      <formula>$EO7</formula>
    </cfRule>
  </conditionalFormatting>
  <conditionalFormatting sqref="F7:H21">
    <cfRule type="cellIs" dxfId="19" priority="10" operator="equal">
      <formula>"NOK"</formula>
    </cfRule>
  </conditionalFormatting>
  <conditionalFormatting sqref="C22">
    <cfRule type="expression" dxfId="18" priority="8">
      <formula>(C22&lt;&gt;C1)</formula>
    </cfRule>
    <cfRule type="expression" dxfId="17" priority="9">
      <formula>(C22=C1)</formula>
    </cfRule>
  </conditionalFormatting>
  <conditionalFormatting sqref="CI22">
    <cfRule type="expression" dxfId="16" priority="94">
      <formula>(ROUND(CH22+CI22,0)&lt;&gt;C2)</formula>
    </cfRule>
  </conditionalFormatting>
  <conditionalFormatting sqref="V22">
    <cfRule type="expression" dxfId="15" priority="138">
      <formula>(ROUND(U22+V22,0)&lt;&gt;C2)</formula>
    </cfRule>
  </conditionalFormatting>
  <conditionalFormatting sqref="L7:L21">
    <cfRule type="dataBar" priority="168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{753ACAE1-7036-4552-9539-CA4979CB73DB}</x14:id>
        </ext>
      </extLst>
    </cfRule>
  </conditionalFormatting>
  <conditionalFormatting sqref="K22">
    <cfRule type="expression" dxfId="14" priority="170">
      <formula>(ROUND(K22+J22,0)&lt;&gt;C2)</formula>
    </cfRule>
  </conditionalFormatting>
  <conditionalFormatting sqref="J7:J21 U7:U21 CH7:CH21">
    <cfRule type="dataBar" priority="171">
      <dataBar>
        <cfvo type="min"/>
        <cfvo type="max"/>
        <color rgb="FF92D050"/>
      </dataBar>
      <extLst>
        <ext xmlns:x14="http://schemas.microsoft.com/office/spreadsheetml/2009/9/main" uri="{B025F937-C7B1-47D3-B67F-A62EFF666E3E}">
          <x14:id>{51AFF0B3-95F8-437E-80DF-83114D02BCE4}</x14:id>
        </ext>
      </extLst>
    </cfRule>
  </conditionalFormatting>
  <conditionalFormatting sqref="K7:K21 V7:V21 CI7:CI21">
    <cfRule type="dataBar" priority="175">
      <dataBar>
        <cfvo type="min"/>
        <cfvo type="num" val="1"/>
        <color rgb="FFFFFF00"/>
      </dataBar>
      <extLst>
        <ext xmlns:x14="http://schemas.microsoft.com/office/spreadsheetml/2009/9/main" uri="{B025F937-C7B1-47D3-B67F-A62EFF666E3E}">
          <x14:id>{51C34C93-1C20-46D3-AA6F-2AA14857E612}</x14:id>
        </ext>
      </extLst>
    </cfRule>
  </conditionalFormatting>
  <conditionalFormatting sqref="D7:D21">
    <cfRule type="dataBar" priority="182">
      <dataBar>
        <cfvo type="min"/>
        <cfvo type="max"/>
        <color theme="0" tint="-0.499984740745262"/>
      </dataBar>
      <extLst>
        <ext xmlns:x14="http://schemas.microsoft.com/office/spreadsheetml/2009/9/main" uri="{B025F937-C7B1-47D3-B67F-A62EFF666E3E}">
          <x14:id>{A907CFF6-DCAE-4915-8B76-23E9CB35981E}</x14:id>
        </ext>
      </extLst>
    </cfRule>
  </conditionalFormatting>
  <conditionalFormatting sqref="CB18:CB20">
    <cfRule type="cellIs" dxfId="13" priority="4" operator="equal">
      <formula>TRUE</formula>
    </cfRule>
  </conditionalFormatting>
  <conditionalFormatting sqref="DV18:EN20">
    <cfRule type="cellIs" dxfId="12" priority="2" operator="equal">
      <formula>"PATT"</formula>
    </cfRule>
    <cfRule type="cellIs" dxfId="11" priority="3" operator="equal">
      <formula>"SITZ"</formula>
    </cfRule>
  </conditionalFormatting>
  <conditionalFormatting sqref="EO18:EO20">
    <cfRule type="cellIs" dxfId="10" priority="1" operator="equal">
      <formula>TRUE</formula>
    </cfRule>
  </conditionalFormatting>
  <dataValidations count="3">
    <dataValidation type="list" allowBlank="1" showInputMessage="1" showErrorMessage="1" sqref="C3">
      <formula1>"Los-Chance,Los-Gelost,Stimmen"</formula1>
    </dataValidation>
    <dataValidation type="list" allowBlank="1" showInputMessage="1" showErrorMessage="1" sqref="C4">
      <formula1>"1,2,3,4,5,6,7,8,9,10,11,12"</formula1>
    </dataValidation>
    <dataValidation type="list" allowBlank="1" showInputMessage="1" showErrorMessage="1" sqref="EW7:EW21">
      <formula1>"WAHR,FALSCH"</formula1>
    </dataValidation>
  </dataValidations>
  <pageMargins left="0.7" right="0.7" top="0.78740157499999996" bottom="0.78740157499999996" header="0.3" footer="0.3"/>
  <pageSetup paperSize="9" orientation="portrait" horizontalDpi="4294967295" verticalDpi="4294967295" r:id="rId1"/>
  <legacyDrawing r:id="rId2"/>
  <tableParts count="5">
    <tablePart r:id="rId3"/>
    <tablePart r:id="rId4"/>
    <tablePart r:id="rId5"/>
    <tablePart r:id="rId6"/>
    <tablePart r:id="rId7"/>
  </tablePart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53ACAE1-7036-4552-9539-CA4979CB73DB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L7:L21</xm:sqref>
        </x14:conditionalFormatting>
        <x14:conditionalFormatting xmlns:xm="http://schemas.microsoft.com/office/excel/2006/main">
          <x14:cfRule type="dataBar" id="{51AFF0B3-95F8-437E-80DF-83114D02BCE4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J7:J21 U7:U21 CH7:CH21</xm:sqref>
        </x14:conditionalFormatting>
        <x14:conditionalFormatting xmlns:xm="http://schemas.microsoft.com/office/excel/2006/main">
          <x14:cfRule type="dataBar" id="{51C34C93-1C20-46D3-AA6F-2AA14857E612}">
            <x14:dataBar minLength="0" maxLength="100" gradient="0">
              <x14:cfvo type="autoMin"/>
              <x14:cfvo type="num">
                <xm:f>1</xm:f>
              </x14:cfvo>
              <x14:negativeFillColor rgb="FFFF0000"/>
              <x14:axisColor rgb="FF000000"/>
            </x14:dataBar>
          </x14:cfRule>
          <xm:sqref>K7:K21 V7:V21 CI7:CI21</xm:sqref>
        </x14:conditionalFormatting>
        <x14:conditionalFormatting xmlns:xm="http://schemas.microsoft.com/office/excel/2006/main">
          <x14:cfRule type="dataBar" id="{A907CFF6-DCAE-4915-8B76-23E9CB35981E}">
            <x14:dataBar minLength="0" maxLength="100" gradient="0">
              <x14:cfvo type="autoMin"/>
              <x14:cfvo type="autoMax"/>
              <x14:negativeFillColor rgb="FFFF0000"/>
              <x14:axisColor rgb="FF000000"/>
            </x14:dataBar>
          </x14:cfRule>
          <xm:sqref>D7:D21</xm:sqref>
        </x14:conditionalFormatting>
      </x14:conditionalFormatting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2:D4"/>
  <sheetViews>
    <sheetView workbookViewId="0">
      <selection activeCell="D41" sqref="D41"/>
    </sheetView>
  </sheetViews>
  <sheetFormatPr baseColWidth="10" defaultRowHeight="15" x14ac:dyDescent="0.25"/>
  <cols>
    <col min="2" max="2" width="10.140625" bestFit="1" customWidth="1"/>
    <col min="3" max="3" width="15.85546875" bestFit="1" customWidth="1"/>
    <col min="4" max="4" width="30.140625" bestFit="1" customWidth="1"/>
  </cols>
  <sheetData>
    <row r="2" spans="2:4" x14ac:dyDescent="0.25">
      <c r="B2" t="s">
        <v>180</v>
      </c>
      <c r="C2" t="s">
        <v>181</v>
      </c>
      <c r="D2" t="s">
        <v>182</v>
      </c>
    </row>
    <row r="3" spans="2:4" x14ac:dyDescent="0.25">
      <c r="B3" t="s">
        <v>183</v>
      </c>
      <c r="C3" s="137">
        <v>43853</v>
      </c>
      <c r="D3" t="s">
        <v>184</v>
      </c>
    </row>
    <row r="4" spans="2:4" x14ac:dyDescent="0.25">
      <c r="B4" t="s">
        <v>185</v>
      </c>
      <c r="C4" s="137">
        <v>43882</v>
      </c>
      <c r="D4" t="s">
        <v>186</v>
      </c>
    </row>
  </sheetData>
  <pageMargins left="0.7" right="0.7" top="0.78740157499999996" bottom="0.78740157499999996" header="0.3" footer="0.3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N19"/>
  <sheetViews>
    <sheetView workbookViewId="0">
      <selection activeCell="D27" sqref="D27"/>
    </sheetView>
  </sheetViews>
  <sheetFormatPr baseColWidth="10" defaultRowHeight="15" x14ac:dyDescent="0.25"/>
  <cols>
    <col min="2" max="2" width="15.140625" bestFit="1" customWidth="1"/>
  </cols>
  <sheetData>
    <row r="4" spans="2:14" x14ac:dyDescent="0.25">
      <c r="B4" t="s">
        <v>129</v>
      </c>
      <c r="C4" t="s">
        <v>130</v>
      </c>
      <c r="D4" t="s">
        <v>131</v>
      </c>
      <c r="E4" t="s">
        <v>132</v>
      </c>
      <c r="F4" t="s">
        <v>133</v>
      </c>
      <c r="G4" t="s">
        <v>134</v>
      </c>
      <c r="H4" t="s">
        <v>135</v>
      </c>
      <c r="I4" t="s">
        <v>136</v>
      </c>
      <c r="J4" t="s">
        <v>137</v>
      </c>
      <c r="K4" t="s">
        <v>138</v>
      </c>
      <c r="L4" t="s">
        <v>139</v>
      </c>
      <c r="M4" t="s">
        <v>140</v>
      </c>
      <c r="N4" t="s">
        <v>141</v>
      </c>
    </row>
    <row r="5" spans="2:14" x14ac:dyDescent="0.25">
      <c r="B5" t="s">
        <v>7</v>
      </c>
      <c r="C5">
        <v>16</v>
      </c>
      <c r="D5">
        <v>11</v>
      </c>
      <c r="E5">
        <v>8</v>
      </c>
      <c r="F5">
        <v>8</v>
      </c>
      <c r="G5">
        <v>8</v>
      </c>
      <c r="H5">
        <v>8</v>
      </c>
      <c r="I5">
        <v>12</v>
      </c>
      <c r="J5">
        <v>6</v>
      </c>
      <c r="K5">
        <v>14</v>
      </c>
      <c r="L5">
        <v>12</v>
      </c>
      <c r="M5">
        <v>12</v>
      </c>
      <c r="N5">
        <v>10</v>
      </c>
    </row>
    <row r="6" spans="2:14" x14ac:dyDescent="0.25">
      <c r="B6" t="s">
        <v>1</v>
      </c>
      <c r="C6">
        <v>18</v>
      </c>
      <c r="D6">
        <v>20</v>
      </c>
      <c r="E6">
        <v>14</v>
      </c>
      <c r="F6">
        <v>12</v>
      </c>
      <c r="G6">
        <v>9</v>
      </c>
      <c r="H6">
        <v>17</v>
      </c>
      <c r="I6">
        <v>34</v>
      </c>
      <c r="J6">
        <v>8</v>
      </c>
      <c r="K6">
        <v>15</v>
      </c>
      <c r="L6">
        <v>26</v>
      </c>
      <c r="M6">
        <v>27</v>
      </c>
      <c r="N6">
        <v>17</v>
      </c>
    </row>
    <row r="7" spans="2:14" x14ac:dyDescent="0.25">
      <c r="B7" t="s">
        <v>2</v>
      </c>
      <c r="C7">
        <v>10</v>
      </c>
      <c r="D7">
        <v>10</v>
      </c>
      <c r="E7">
        <v>3</v>
      </c>
      <c r="F7">
        <v>6</v>
      </c>
      <c r="G7">
        <v>9</v>
      </c>
      <c r="H7">
        <v>11</v>
      </c>
      <c r="I7">
        <v>16</v>
      </c>
      <c r="J7">
        <v>3</v>
      </c>
      <c r="K7">
        <v>4</v>
      </c>
      <c r="L7">
        <v>18</v>
      </c>
      <c r="M7">
        <v>19</v>
      </c>
      <c r="N7">
        <v>10</v>
      </c>
    </row>
    <row r="8" spans="2:14" x14ac:dyDescent="0.25">
      <c r="B8" t="s">
        <v>142</v>
      </c>
      <c r="C8">
        <v>4</v>
      </c>
      <c r="D8">
        <v>5</v>
      </c>
      <c r="E8">
        <v>4</v>
      </c>
      <c r="F8">
        <v>3</v>
      </c>
      <c r="G8">
        <v>3</v>
      </c>
      <c r="H8">
        <v>2</v>
      </c>
      <c r="I8">
        <v>6</v>
      </c>
      <c r="J8">
        <v>1</v>
      </c>
      <c r="K8">
        <v>4</v>
      </c>
      <c r="L8">
        <v>10</v>
      </c>
      <c r="M8">
        <v>3</v>
      </c>
      <c r="N8">
        <v>8</v>
      </c>
    </row>
    <row r="9" spans="2:14" x14ac:dyDescent="0.25">
      <c r="B9" t="s">
        <v>3</v>
      </c>
      <c r="C9">
        <v>5</v>
      </c>
      <c r="D9">
        <v>0</v>
      </c>
      <c r="E9">
        <v>2</v>
      </c>
      <c r="F9">
        <v>2</v>
      </c>
      <c r="G9">
        <v>2</v>
      </c>
      <c r="H9">
        <v>7</v>
      </c>
      <c r="I9">
        <v>2</v>
      </c>
      <c r="J9">
        <v>1</v>
      </c>
      <c r="K9">
        <v>4</v>
      </c>
      <c r="L9">
        <v>8</v>
      </c>
      <c r="M9">
        <v>8</v>
      </c>
      <c r="N9">
        <v>4</v>
      </c>
    </row>
    <row r="10" spans="2:14" x14ac:dyDescent="0.25">
      <c r="B10" t="s">
        <v>4</v>
      </c>
      <c r="C10">
        <v>5</v>
      </c>
      <c r="D10">
        <v>5</v>
      </c>
      <c r="E10">
        <v>1</v>
      </c>
      <c r="F10">
        <v>1</v>
      </c>
      <c r="G10">
        <v>1</v>
      </c>
      <c r="H10">
        <v>1</v>
      </c>
      <c r="I10">
        <v>1</v>
      </c>
      <c r="J10">
        <v>3</v>
      </c>
      <c r="K10">
        <v>4</v>
      </c>
      <c r="L10">
        <v>7</v>
      </c>
      <c r="M10">
        <v>3</v>
      </c>
      <c r="N10">
        <v>1</v>
      </c>
    </row>
    <row r="11" spans="2:14" x14ac:dyDescent="0.25">
      <c r="B11" t="s">
        <v>5</v>
      </c>
      <c r="C11">
        <v>3</v>
      </c>
      <c r="D11">
        <v>3</v>
      </c>
      <c r="E11">
        <v>0</v>
      </c>
      <c r="F11">
        <v>0</v>
      </c>
      <c r="G11">
        <v>0</v>
      </c>
      <c r="H11">
        <v>2</v>
      </c>
      <c r="I11">
        <v>1</v>
      </c>
      <c r="J11">
        <v>0</v>
      </c>
      <c r="K11">
        <v>2</v>
      </c>
      <c r="L11">
        <v>5</v>
      </c>
      <c r="M11">
        <v>0</v>
      </c>
      <c r="N11">
        <v>0</v>
      </c>
    </row>
    <row r="12" spans="2:14" x14ac:dyDescent="0.25">
      <c r="B12" t="s">
        <v>143</v>
      </c>
      <c r="C12">
        <v>5</v>
      </c>
      <c r="D12">
        <v>4</v>
      </c>
      <c r="E12">
        <v>0</v>
      </c>
      <c r="F12">
        <v>0</v>
      </c>
      <c r="G12">
        <v>0</v>
      </c>
      <c r="H12">
        <v>0</v>
      </c>
      <c r="I12">
        <v>0</v>
      </c>
      <c r="J12">
        <v>0</v>
      </c>
      <c r="K12">
        <v>2</v>
      </c>
      <c r="L12">
        <v>3</v>
      </c>
      <c r="M12">
        <v>0</v>
      </c>
      <c r="N12">
        <v>0</v>
      </c>
    </row>
    <row r="13" spans="2:14" x14ac:dyDescent="0.25">
      <c r="B13" t="s">
        <v>144</v>
      </c>
      <c r="C13">
        <v>2</v>
      </c>
      <c r="D13">
        <v>3</v>
      </c>
      <c r="E13">
        <v>0</v>
      </c>
      <c r="F13">
        <v>0</v>
      </c>
      <c r="G13">
        <v>0</v>
      </c>
      <c r="H13">
        <v>0</v>
      </c>
      <c r="I13">
        <v>0</v>
      </c>
      <c r="J13">
        <v>0</v>
      </c>
      <c r="K13">
        <v>2</v>
      </c>
      <c r="L13">
        <v>2</v>
      </c>
      <c r="M13">
        <v>0</v>
      </c>
      <c r="N13">
        <v>0</v>
      </c>
    </row>
    <row r="14" spans="2:14" x14ac:dyDescent="0.25">
      <c r="B14" t="s">
        <v>145</v>
      </c>
      <c r="C14">
        <v>2</v>
      </c>
      <c r="D14">
        <v>0</v>
      </c>
      <c r="E14">
        <v>0</v>
      </c>
      <c r="F14">
        <v>0</v>
      </c>
      <c r="G14">
        <v>0</v>
      </c>
      <c r="H14">
        <v>0</v>
      </c>
      <c r="I14">
        <v>0</v>
      </c>
      <c r="J14">
        <v>0</v>
      </c>
      <c r="K14">
        <v>2</v>
      </c>
      <c r="L14">
        <v>2</v>
      </c>
      <c r="M14">
        <v>0</v>
      </c>
      <c r="N14">
        <v>0</v>
      </c>
    </row>
    <row r="15" spans="2:14" x14ac:dyDescent="0.25">
      <c r="B15" t="s">
        <v>146</v>
      </c>
      <c r="C15">
        <v>6</v>
      </c>
      <c r="D15">
        <v>0</v>
      </c>
      <c r="E15">
        <v>0</v>
      </c>
      <c r="F15">
        <v>0</v>
      </c>
      <c r="G15">
        <v>0</v>
      </c>
      <c r="H15">
        <v>0</v>
      </c>
      <c r="I15">
        <v>0</v>
      </c>
      <c r="J15">
        <v>0</v>
      </c>
      <c r="K15">
        <v>1</v>
      </c>
      <c r="L15">
        <v>1</v>
      </c>
      <c r="M15">
        <v>0</v>
      </c>
      <c r="N15">
        <v>0</v>
      </c>
    </row>
    <row r="16" spans="2:14" x14ac:dyDescent="0.25">
      <c r="B16" t="s">
        <v>147</v>
      </c>
      <c r="C16">
        <v>0</v>
      </c>
      <c r="D16">
        <v>0</v>
      </c>
      <c r="E16">
        <v>0</v>
      </c>
      <c r="F16">
        <v>0</v>
      </c>
      <c r="G16">
        <v>0</v>
      </c>
      <c r="H16">
        <v>0</v>
      </c>
      <c r="I16">
        <v>0</v>
      </c>
      <c r="J16">
        <v>0</v>
      </c>
      <c r="K16">
        <v>0</v>
      </c>
      <c r="L16">
        <v>0</v>
      </c>
      <c r="M16">
        <v>0</v>
      </c>
      <c r="N16">
        <v>0</v>
      </c>
    </row>
    <row r="17" spans="2:14" x14ac:dyDescent="0.25">
      <c r="B17" t="s">
        <v>148</v>
      </c>
      <c r="C17">
        <v>0</v>
      </c>
      <c r="D17">
        <v>0</v>
      </c>
      <c r="E17">
        <v>0</v>
      </c>
      <c r="F17">
        <v>0</v>
      </c>
      <c r="G17">
        <v>0</v>
      </c>
      <c r="H17">
        <v>0</v>
      </c>
      <c r="I17">
        <v>0</v>
      </c>
      <c r="J17">
        <v>0</v>
      </c>
      <c r="K17">
        <v>0</v>
      </c>
      <c r="L17">
        <v>0</v>
      </c>
      <c r="M17">
        <v>0</v>
      </c>
      <c r="N17">
        <v>0</v>
      </c>
    </row>
    <row r="18" spans="2:14" x14ac:dyDescent="0.25">
      <c r="B18" t="s">
        <v>149</v>
      </c>
      <c r="C18">
        <v>0</v>
      </c>
      <c r="D18">
        <v>0</v>
      </c>
      <c r="E18">
        <v>0</v>
      </c>
      <c r="F18">
        <v>0</v>
      </c>
      <c r="G18">
        <v>0</v>
      </c>
      <c r="H18">
        <v>0</v>
      </c>
      <c r="I18">
        <v>0</v>
      </c>
      <c r="J18">
        <v>0</v>
      </c>
      <c r="K18">
        <v>0</v>
      </c>
      <c r="L18">
        <v>0</v>
      </c>
      <c r="M18">
        <v>0</v>
      </c>
      <c r="N18">
        <v>0</v>
      </c>
    </row>
    <row r="19" spans="2:14" x14ac:dyDescent="0.25">
      <c r="B19" t="s">
        <v>150</v>
      </c>
      <c r="C19" t="s">
        <v>151</v>
      </c>
      <c r="D19" t="s">
        <v>151</v>
      </c>
      <c r="E19" t="s">
        <v>151</v>
      </c>
      <c r="F19" t="s">
        <v>151</v>
      </c>
      <c r="G19" t="s">
        <v>151</v>
      </c>
      <c r="H19" t="s">
        <v>151</v>
      </c>
      <c r="I19" t="s">
        <v>151</v>
      </c>
      <c r="J19" t="s">
        <v>151</v>
      </c>
      <c r="K19" t="s">
        <v>151</v>
      </c>
      <c r="L19" t="s">
        <v>151</v>
      </c>
      <c r="M19" t="s">
        <v>151</v>
      </c>
      <c r="N19" t="s">
        <v>151</v>
      </c>
    </row>
  </sheetData>
  <pageMargins left="0.7" right="0.7" top="0.78740157499999996" bottom="0.78740157499999996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B4:C16"/>
  <sheetViews>
    <sheetView workbookViewId="0">
      <selection activeCell="B4" sqref="B4:C16"/>
    </sheetView>
  </sheetViews>
  <sheetFormatPr baseColWidth="10" defaultRowHeight="15" x14ac:dyDescent="0.25"/>
  <sheetData>
    <row r="4" spans="2:3" x14ac:dyDescent="0.25">
      <c r="B4" t="s">
        <v>1</v>
      </c>
      <c r="C4">
        <v>18</v>
      </c>
    </row>
    <row r="5" spans="2:3" x14ac:dyDescent="0.25">
      <c r="B5" t="s">
        <v>2</v>
      </c>
      <c r="C5">
        <v>10</v>
      </c>
    </row>
    <row r="6" spans="2:3" x14ac:dyDescent="0.25">
      <c r="B6" t="s">
        <v>121</v>
      </c>
      <c r="C6">
        <v>4</v>
      </c>
    </row>
    <row r="7" spans="2:3" x14ac:dyDescent="0.25">
      <c r="B7" t="s">
        <v>3</v>
      </c>
      <c r="C7">
        <v>5</v>
      </c>
    </row>
    <row r="8" spans="2:3" x14ac:dyDescent="0.25">
      <c r="B8" t="s">
        <v>4</v>
      </c>
      <c r="C8">
        <v>5</v>
      </c>
    </row>
    <row r="9" spans="2:3" x14ac:dyDescent="0.25">
      <c r="B9" t="s">
        <v>5</v>
      </c>
      <c r="C9">
        <v>3</v>
      </c>
    </row>
    <row r="10" spans="2:3" x14ac:dyDescent="0.25">
      <c r="B10" t="s">
        <v>122</v>
      </c>
      <c r="C10">
        <v>5</v>
      </c>
    </row>
    <row r="11" spans="2:3" x14ac:dyDescent="0.25">
      <c r="B11" t="s">
        <v>123</v>
      </c>
      <c r="C11">
        <v>2</v>
      </c>
    </row>
    <row r="12" spans="2:3" x14ac:dyDescent="0.25">
      <c r="B12" t="s">
        <v>124</v>
      </c>
      <c r="C12">
        <v>2</v>
      </c>
    </row>
    <row r="13" spans="2:3" x14ac:dyDescent="0.25">
      <c r="B13" t="s">
        <v>125</v>
      </c>
      <c r="C13">
        <v>6</v>
      </c>
    </row>
    <row r="14" spans="2:3" x14ac:dyDescent="0.25">
      <c r="B14" t="s">
        <v>126</v>
      </c>
      <c r="C14">
        <v>0</v>
      </c>
    </row>
    <row r="15" spans="2:3" x14ac:dyDescent="0.25">
      <c r="B15" t="s">
        <v>127</v>
      </c>
      <c r="C15">
        <v>0</v>
      </c>
    </row>
    <row r="16" spans="2:3" x14ac:dyDescent="0.25">
      <c r="B16" t="s">
        <v>128</v>
      </c>
      <c r="C16">
        <v>0</v>
      </c>
    </row>
  </sheetData>
  <pageMargins left="0.7" right="0.7" top="0.78740157499999996" bottom="0.78740157499999996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7</vt:i4>
      </vt:variant>
      <vt:variant>
        <vt:lpstr>Benannte Bereiche</vt:lpstr>
      </vt:variant>
      <vt:variant>
        <vt:i4>9</vt:i4>
      </vt:variant>
    </vt:vector>
  </HeadingPairs>
  <TitlesOfParts>
    <vt:vector size="16" baseType="lpstr">
      <vt:lpstr>Lizenz</vt:lpstr>
      <vt:lpstr>Autoren</vt:lpstr>
      <vt:lpstr>Bedienung</vt:lpstr>
      <vt:lpstr>Ausschusskalkulator</vt:lpstr>
      <vt:lpstr>Versionen</vt:lpstr>
      <vt:lpstr>Tabelle1</vt:lpstr>
      <vt:lpstr>Tabelle3</vt:lpstr>
      <vt:lpstr>Pattaufloesung</vt:lpstr>
      <vt:lpstr>Sitze_Ausschuss</vt:lpstr>
      <vt:lpstr>Sitze_Hauptorgan</vt:lpstr>
      <vt:lpstr>SLS_Los</vt:lpstr>
      <vt:lpstr>SLS_Patt</vt:lpstr>
      <vt:lpstr>SLS_RelStimmen</vt:lpstr>
      <vt:lpstr>SLS_Sitze</vt:lpstr>
      <vt:lpstr>SLS_SitzPatt</vt:lpstr>
      <vt:lpstr>SLS_Stimmen</vt:lpstr>
    </vt:vector>
  </TitlesOfParts>
  <Company>FHVR Hof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Friedrich, Jan</dc:creator>
  <cp:lastModifiedBy>Friedrich, Jan</cp:lastModifiedBy>
  <dcterms:created xsi:type="dcterms:W3CDTF">2019-07-22T06:32:39Z</dcterms:created>
  <dcterms:modified xsi:type="dcterms:W3CDTF">2020-02-21T08:36:07Z</dcterms:modified>
</cp:coreProperties>
</file>