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1.xml" ContentType="application/vnd.openxmlformats-officedocument.spreadsheetml.comment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omments2.xml" ContentType="application/vnd.openxmlformats-officedocument.spreadsheetml.comments+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VI\Ausschusskalkulator\2.1\"/>
    </mc:Choice>
  </mc:AlternateContent>
  <workbookProtection workbookAlgorithmName="SHA-512" workbookHashValue="uVWxhnNH/xiZmCS9CaL2JpwZ+NIo6LRgIoB/AvbekbT8H3pwZMLGUBz4Wg4LkLDj9cl4KbaYy6RknCfOBSf5RQ==" workbookSaltValue="HIbMg2p99MN5/qHUF88FnA==" workbookSpinCount="100000" lockStructure="1"/>
  <bookViews>
    <workbookView xWindow="0" yWindow="0" windowWidth="28800" windowHeight="12000" activeTab="1"/>
  </bookViews>
  <sheets>
    <sheet name="Lizenz" sheetId="4" r:id="rId1"/>
    <sheet name="Werbeblock" sheetId="9" r:id="rId2"/>
    <sheet name="Bedienung" sheetId="10" r:id="rId3"/>
    <sheet name="Ausschusskalkulator_ohneAG" sheetId="1" r:id="rId4"/>
    <sheet name="Ausschusskalkulator_mitAG" sheetId="13" r:id="rId5"/>
    <sheet name="Ausschusskalkulator_Prototyp" sheetId="14" r:id="rId6"/>
    <sheet name="Versionen" sheetId="12" r:id="rId7"/>
    <sheet name="Tabelle5" sheetId="16" state="hidden" r:id="rId8"/>
    <sheet name="Tabelle1" sheetId="6" state="hidden" r:id="rId9"/>
    <sheet name="Tabelle3" sheetId="8" state="hidden" r:id="rId10"/>
  </sheets>
  <definedNames>
    <definedName name="Aussschussgröße">Ausschusskalkulator_Prototyp!$M$3</definedName>
    <definedName name="Hilf_Parteien">Ausschusskalkulator_ohneAG!$FA$6:$FN$25</definedName>
    <definedName name="Pattaufloesung" localSheetId="4">Ausschusskalkulator_mitAG!$C$3</definedName>
    <definedName name="Pattaufloesung">Ausschusskalkulator_ohneAG!$C$3</definedName>
    <definedName name="Pattverfahren">Ausschusskalkulator_Prototyp!$AW$3</definedName>
    <definedName name="Sitze_Ausschuss" localSheetId="4">Ausschusskalkulator_mitAG!$C$2</definedName>
    <definedName name="Sitze_Ausschuss">Ausschusskalkulator_ohneAG!$C$2</definedName>
    <definedName name="Sitze_Hauptorgan" localSheetId="4">Ausschusskalkulator_mitAG!$C$1</definedName>
    <definedName name="Sitze_Hauptorgan">Ausschusskalkulator_ohneAG!$C$1</definedName>
    <definedName name="SLS_Los" localSheetId="4">Ausschusskalkulator_mitAG!$CF$7:$CF$21</definedName>
    <definedName name="SLS_Los">Ausschusskalkulator_ohneAG!$CE$7:$CE$21</definedName>
    <definedName name="SLS_Patt" localSheetId="4">Ausschusskalkulator_mitAG!$CE$7:$CE$21</definedName>
    <definedName name="SLS_Patt">Ausschusskalkulator_ohneAG!$CD$7:$CD$21</definedName>
    <definedName name="SLS_RelStimmen" localSheetId="4">Ausschusskalkulator_mitAG!$CG$7:$CG$21</definedName>
    <definedName name="SLS_RelStimmen">Ausschusskalkulator_ohneAG!$CF$7:$CF$21</definedName>
    <definedName name="SLS_Sitze" localSheetId="4">Ausschusskalkulator_mitAG!$X$7:$X$21</definedName>
    <definedName name="SLS_Sitze">Ausschusskalkulator_ohneAG!$W$7:$W$21</definedName>
    <definedName name="SLS_SitzPatt" localSheetId="4">Ausschusskalkulator_mitAG!$BL$7:$CD$21</definedName>
    <definedName name="SLS_SitzPatt">Ausschusskalkulator_ohneAG!$BK$7:$CC$21</definedName>
    <definedName name="SLS_Stimmen" localSheetId="4">Ausschusskalkulator_mitAG!$CH$7:$CH$21</definedName>
    <definedName name="SLS_Stimmen">Ausschusskalkulator_ohneAG!$CG$7:$CG$21</definedName>
    <definedName name="Tab_AG_BereichAGs_String">"=BEREICH.VERSCHIEBEN("&amp;Tab_AG_OL&amp;";"&amp;Tab_QKSIcher_Zeilen+1&amp;";0;"&amp;Tab_AG_Zeilen-Tab_QKSIcher_Zeilen&amp;";1)"</definedName>
    <definedName name="Tab_AG_OL">ADDRESS(ROW(Tab_AG[[#Headers],[Name_Hilf]]),COLUMN(Tab_AG[[#Headers],[Name_Hilf]]))</definedName>
    <definedName name="Tab_AG_Zeilen">ROWS(Tab_AG[])</definedName>
    <definedName name="Tab_QKSIcher_Zeilen">ROWS(Tab_QKSicher[])</definedName>
    <definedName name="Verfahren">Ausschusskalkulator_Prototyp!$AD$3</definedName>
    <definedName name="VerfdH">Tabelle5!$C$5</definedName>
    <definedName name="VerfHN">Tabelle5!$C$6</definedName>
    <definedName name="VerfSLS">Tabelle5!$C$7</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8" i="14" l="1"/>
  <c r="K9" i="14"/>
  <c r="K10" i="14"/>
  <c r="K11" i="14"/>
  <c r="K12" i="14"/>
  <c r="K13" i="14"/>
  <c r="K14" i="14"/>
  <c r="K15" i="14"/>
  <c r="K16" i="14"/>
  <c r="K17" i="14"/>
  <c r="H18" i="14"/>
  <c r="K18" i="14"/>
  <c r="H19" i="14"/>
  <c r="K19" i="14"/>
  <c r="F18" i="14"/>
  <c r="F19" i="14"/>
  <c r="U20" i="14"/>
  <c r="U21" i="14"/>
  <c r="U22" i="14"/>
  <c r="U23" i="14"/>
  <c r="H8" i="1"/>
  <c r="H9" i="1"/>
  <c r="H10" i="1"/>
  <c r="H11" i="1"/>
  <c r="H12" i="1"/>
  <c r="H13" i="1"/>
  <c r="H14" i="1"/>
  <c r="H15" i="1"/>
  <c r="H16" i="1"/>
  <c r="H17" i="1"/>
  <c r="H18" i="1"/>
  <c r="H19" i="1"/>
  <c r="H20" i="1"/>
  <c r="H21" i="1"/>
  <c r="C2" i="13"/>
  <c r="FK22" i="1"/>
  <c r="FK23" i="1"/>
  <c r="FK24" i="1"/>
  <c r="FK25" i="1"/>
  <c r="FJ22" i="1"/>
  <c r="FJ23" i="1"/>
  <c r="FJ24" i="1"/>
  <c r="FJ25" i="1"/>
  <c r="FI22" i="1"/>
  <c r="FL22" i="1" s="1"/>
  <c r="FN22" i="1" s="1"/>
  <c r="FI23" i="1"/>
  <c r="FL23" i="1" s="1"/>
  <c r="FN23" i="1" s="1"/>
  <c r="FI24" i="1"/>
  <c r="FL24" i="1" s="1"/>
  <c r="FN24" i="1" s="1"/>
  <c r="FI25" i="1"/>
  <c r="FL25" i="1" s="1"/>
  <c r="FN25" i="1" s="1"/>
  <c r="U19" i="14" l="1"/>
  <c r="FM22" i="1"/>
  <c r="FM23" i="1"/>
  <c r="FM25" i="1"/>
  <c r="FM24" i="1"/>
  <c r="F21" i="14" l="1"/>
  <c r="F22" i="14"/>
  <c r="V23" i="14"/>
  <c r="AB23" i="14" l="1"/>
  <c r="V22" i="14"/>
  <c r="AB19" i="14"/>
  <c r="V19" i="14" l="1"/>
  <c r="V20" i="14"/>
  <c r="V21" i="14"/>
  <c r="W7" i="14"/>
  <c r="X7" i="14" s="1"/>
  <c r="W8" i="14" s="1"/>
  <c r="X8" i="14" s="1"/>
  <c r="F7" i="14"/>
  <c r="F8" i="14"/>
  <c r="H8" i="14" s="1"/>
  <c r="F9" i="14"/>
  <c r="H9" i="14" s="1"/>
  <c r="F10" i="14"/>
  <c r="H10" i="14" s="1"/>
  <c r="F11" i="14"/>
  <c r="H11" i="14" s="1"/>
  <c r="F12" i="14"/>
  <c r="H12" i="14" s="1"/>
  <c r="F13" i="14"/>
  <c r="H13" i="14" s="1"/>
  <c r="F14" i="14"/>
  <c r="H14" i="14" s="1"/>
  <c r="F15" i="14"/>
  <c r="H15" i="14" s="1"/>
  <c r="F16" i="14"/>
  <c r="H16" i="14" s="1"/>
  <c r="F17" i="14"/>
  <c r="H17" i="14" s="1"/>
  <c r="K7" i="14"/>
  <c r="AB8" i="14"/>
  <c r="AB9" i="14"/>
  <c r="AB10" i="14"/>
  <c r="AB11" i="14"/>
  <c r="AB12" i="14"/>
  <c r="AB15" i="14"/>
  <c r="D18" i="14"/>
  <c r="AF19" i="14" s="1"/>
  <c r="AE15" i="14" l="1"/>
  <c r="AG15" i="14" s="1"/>
  <c r="AF15" i="14"/>
  <c r="AF23" i="14"/>
  <c r="AE19" i="14"/>
  <c r="AH19" i="14" s="1"/>
  <c r="AE11" i="14"/>
  <c r="AG11" i="14" s="1"/>
  <c r="AF11" i="14"/>
  <c r="AF9" i="14"/>
  <c r="AE9" i="14"/>
  <c r="AG9" i="14" s="1"/>
  <c r="AF10" i="14"/>
  <c r="AE10" i="14"/>
  <c r="AH10" i="14" s="1"/>
  <c r="AF8" i="14"/>
  <c r="AE8" i="14"/>
  <c r="AH8" i="14" s="1"/>
  <c r="AF12" i="14"/>
  <c r="AE12" i="14"/>
  <c r="AH12" i="14" s="1"/>
  <c r="AE23" i="14"/>
  <c r="AH23" i="14" s="1"/>
  <c r="V13" i="14"/>
  <c r="AB13" i="14"/>
  <c r="V17" i="14"/>
  <c r="AB17" i="14"/>
  <c r="V16" i="14"/>
  <c r="AB16" i="14"/>
  <c r="V18" i="14"/>
  <c r="AB18" i="14"/>
  <c r="V14" i="14"/>
  <c r="AB14" i="14"/>
  <c r="M19" i="14"/>
  <c r="O19" i="14" s="1"/>
  <c r="H7" i="14"/>
  <c r="U7" i="14" s="1"/>
  <c r="S7" i="14" s="1"/>
  <c r="Q19" i="14"/>
  <c r="AB7" i="14"/>
  <c r="K20" i="14"/>
  <c r="V15" i="14"/>
  <c r="V7" i="14"/>
  <c r="V12" i="14"/>
  <c r="V11" i="14"/>
  <c r="V10" i="14"/>
  <c r="V9" i="14"/>
  <c r="V8" i="14"/>
  <c r="W9" i="14"/>
  <c r="X9" i="14" s="1"/>
  <c r="Q15" i="14"/>
  <c r="Q7" i="14"/>
  <c r="M9" i="14"/>
  <c r="M17" i="14"/>
  <c r="M16" i="14"/>
  <c r="M8" i="14"/>
  <c r="N8" i="14" s="1"/>
  <c r="M14" i="14"/>
  <c r="M13" i="14"/>
  <c r="M12" i="14"/>
  <c r="M11" i="14"/>
  <c r="M10" i="14"/>
  <c r="Q14" i="14"/>
  <c r="Q13" i="14"/>
  <c r="M15" i="14"/>
  <c r="M7" i="14"/>
  <c r="Q12" i="14"/>
  <c r="Q11" i="14"/>
  <c r="Q10" i="14"/>
  <c r="M18" i="14"/>
  <c r="Q9" i="14"/>
  <c r="Q17" i="14"/>
  <c r="Q16" i="14"/>
  <c r="Q8" i="14"/>
  <c r="Q18" i="14"/>
  <c r="FD8" i="1"/>
  <c r="FD9" i="1"/>
  <c r="FD10" i="1"/>
  <c r="FD11" i="1"/>
  <c r="FD12" i="1"/>
  <c r="FD13" i="1"/>
  <c r="FD14" i="1"/>
  <c r="FD15" i="1"/>
  <c r="FD16" i="1"/>
  <c r="FD17" i="1"/>
  <c r="FD18" i="1"/>
  <c r="FD19" i="1"/>
  <c r="FD20" i="1"/>
  <c r="FD21" i="1"/>
  <c r="FD7" i="1"/>
  <c r="C1" i="13"/>
  <c r="FC8" i="1"/>
  <c r="FC9" i="1"/>
  <c r="FC10" i="1"/>
  <c r="FC11" i="1"/>
  <c r="FC12" i="1"/>
  <c r="FC13" i="1"/>
  <c r="FC14" i="1"/>
  <c r="FC15" i="1"/>
  <c r="FC16" i="1"/>
  <c r="FC17" i="1"/>
  <c r="FC18" i="1"/>
  <c r="FC19" i="1"/>
  <c r="FC20" i="1"/>
  <c r="FC21" i="1"/>
  <c r="FC7" i="1"/>
  <c r="FB8" i="1"/>
  <c r="FB9" i="1"/>
  <c r="FB10" i="1"/>
  <c r="FB11" i="1"/>
  <c r="FB12" i="1"/>
  <c r="FB13" i="1"/>
  <c r="FB14" i="1"/>
  <c r="FB15" i="1"/>
  <c r="FB16" i="1"/>
  <c r="FB17" i="1"/>
  <c r="FB18" i="1"/>
  <c r="FB19" i="1"/>
  <c r="FB20" i="1"/>
  <c r="FB21" i="1"/>
  <c r="FB7" i="1"/>
  <c r="FH23" i="1"/>
  <c r="FC25" i="1" s="1"/>
  <c r="FG23" i="1"/>
  <c r="FC24" i="1" s="1"/>
  <c r="FF23" i="1"/>
  <c r="FC23" i="1" s="1"/>
  <c r="FE23" i="1"/>
  <c r="FC22" i="1" s="1"/>
  <c r="FH21" i="1"/>
  <c r="FG21" i="1"/>
  <c r="FF21" i="1"/>
  <c r="FH20" i="1"/>
  <c r="FG20" i="1"/>
  <c r="FF20" i="1"/>
  <c r="FH19" i="1"/>
  <c r="FG19" i="1"/>
  <c r="FF19" i="1"/>
  <c r="FH18" i="1"/>
  <c r="FG18" i="1"/>
  <c r="FF18" i="1"/>
  <c r="FH17" i="1"/>
  <c r="FG17" i="1"/>
  <c r="FF17" i="1"/>
  <c r="FH16" i="1"/>
  <c r="FG16" i="1"/>
  <c r="FF16" i="1"/>
  <c r="FH15" i="1"/>
  <c r="FG15" i="1"/>
  <c r="FF15" i="1"/>
  <c r="FH14" i="1"/>
  <c r="FG14" i="1"/>
  <c r="FF14" i="1"/>
  <c r="FH13" i="1"/>
  <c r="FG13" i="1"/>
  <c r="FF13" i="1"/>
  <c r="FH12" i="1"/>
  <c r="FG12" i="1"/>
  <c r="FF12" i="1"/>
  <c r="FH11" i="1"/>
  <c r="FG11" i="1"/>
  <c r="FF11" i="1"/>
  <c r="FH10" i="1"/>
  <c r="FG10" i="1"/>
  <c r="FF10" i="1"/>
  <c r="FH9" i="1"/>
  <c r="FG9" i="1"/>
  <c r="FF9" i="1"/>
  <c r="FH8" i="1"/>
  <c r="FG8" i="1"/>
  <c r="FF8" i="1"/>
  <c r="FH7" i="1"/>
  <c r="FG7" i="1"/>
  <c r="FF7" i="1"/>
  <c r="FE8" i="1"/>
  <c r="FE9" i="1"/>
  <c r="FE10" i="1"/>
  <c r="FE11" i="1"/>
  <c r="FE12" i="1"/>
  <c r="FE13" i="1"/>
  <c r="FE14" i="1"/>
  <c r="FE15" i="1"/>
  <c r="FE16" i="1"/>
  <c r="FE17" i="1"/>
  <c r="FE18" i="1"/>
  <c r="FE19" i="1"/>
  <c r="FE20" i="1"/>
  <c r="FE21" i="1"/>
  <c r="FE7" i="1"/>
  <c r="EZ8" i="1"/>
  <c r="EZ9" i="1"/>
  <c r="EZ10" i="1"/>
  <c r="EZ11" i="1"/>
  <c r="EZ12" i="1"/>
  <c r="EZ13" i="1"/>
  <c r="EZ14" i="1"/>
  <c r="EZ15" i="1"/>
  <c r="EZ16" i="1"/>
  <c r="EZ17" i="1"/>
  <c r="EZ18" i="1"/>
  <c r="EZ19" i="1"/>
  <c r="EZ20" i="1"/>
  <c r="EZ21" i="1"/>
  <c r="EZ7" i="1"/>
  <c r="AI10" i="14" l="1"/>
  <c r="AI11" i="14"/>
  <c r="AI12" i="14"/>
  <c r="AG12" i="14"/>
  <c r="AI15" i="14"/>
  <c r="AF16" i="14"/>
  <c r="AE16" i="14"/>
  <c r="AH9" i="14"/>
  <c r="AJ9" i="14" s="1"/>
  <c r="AD10" i="14"/>
  <c r="AJ19" i="14"/>
  <c r="AD19" i="14"/>
  <c r="AG19" i="14"/>
  <c r="AI19" i="14"/>
  <c r="AE17" i="14"/>
  <c r="AG17" i="14" s="1"/>
  <c r="AF17" i="14"/>
  <c r="AD9" i="14"/>
  <c r="AF14" i="14"/>
  <c r="AE14" i="14"/>
  <c r="AG14" i="14" s="1"/>
  <c r="AE13" i="14"/>
  <c r="AI13" i="14" s="1"/>
  <c r="AF13" i="14"/>
  <c r="AD8" i="14"/>
  <c r="AG10" i="14"/>
  <c r="AJ10" i="14" s="1"/>
  <c r="AH11" i="14"/>
  <c r="AH15" i="14"/>
  <c r="AI8" i="14"/>
  <c r="AF18" i="14"/>
  <c r="AE18" i="14"/>
  <c r="AG18" i="14" s="1"/>
  <c r="AD23" i="14"/>
  <c r="AI23" i="14"/>
  <c r="AG23" i="14"/>
  <c r="AJ23" i="14" s="1"/>
  <c r="AD12" i="14"/>
  <c r="AG8" i="14"/>
  <c r="AI9" i="14"/>
  <c r="AD11" i="14"/>
  <c r="AJ15" i="14"/>
  <c r="AD15" i="14"/>
  <c r="AB22" i="14"/>
  <c r="U14" i="14"/>
  <c r="S14" i="14" s="1"/>
  <c r="U9" i="14"/>
  <c r="S9" i="14" s="1"/>
  <c r="U17" i="14"/>
  <c r="S17" i="14" s="1"/>
  <c r="U10" i="14"/>
  <c r="S10" i="14" s="1"/>
  <c r="U15" i="14"/>
  <c r="S15" i="14" s="1"/>
  <c r="U13" i="14"/>
  <c r="S13" i="14" s="1"/>
  <c r="U8" i="14"/>
  <c r="S8" i="14" s="1"/>
  <c r="U18" i="14"/>
  <c r="U11" i="14"/>
  <c r="S11" i="14" s="1"/>
  <c r="U16" i="14"/>
  <c r="S16" i="14" s="1"/>
  <c r="U12" i="14"/>
  <c r="S12" i="14" s="1"/>
  <c r="AB20" i="14"/>
  <c r="AB21" i="14"/>
  <c r="N19" i="14"/>
  <c r="P19" i="14" s="1"/>
  <c r="Y7" i="14"/>
  <c r="Z7" i="14" s="1"/>
  <c r="AF7" i="14"/>
  <c r="AE7" i="14"/>
  <c r="AG7" i="14" s="1"/>
  <c r="W10" i="14"/>
  <c r="X10" i="14" s="1"/>
  <c r="O8" i="14"/>
  <c r="P8" i="14" s="1"/>
  <c r="N18" i="14"/>
  <c r="O18" i="14"/>
  <c r="O16" i="14"/>
  <c r="N16" i="14"/>
  <c r="N12" i="14"/>
  <c r="O12" i="14"/>
  <c r="N15" i="14"/>
  <c r="O15" i="14"/>
  <c r="N10" i="14"/>
  <c r="O10" i="14"/>
  <c r="N14" i="14"/>
  <c r="O14" i="14"/>
  <c r="N9" i="14"/>
  <c r="O9" i="14"/>
  <c r="N7" i="14"/>
  <c r="O7" i="14"/>
  <c r="N17" i="14"/>
  <c r="O17" i="14"/>
  <c r="N13" i="14"/>
  <c r="O13" i="14"/>
  <c r="N11" i="14"/>
  <c r="O11" i="14"/>
  <c r="FA19" i="1"/>
  <c r="FA15" i="1"/>
  <c r="FA16" i="1"/>
  <c r="FA14" i="1"/>
  <c r="FA21" i="1"/>
  <c r="FA17" i="1"/>
  <c r="FA13" i="1"/>
  <c r="FA20" i="1"/>
  <c r="FA12" i="1"/>
  <c r="FA18" i="1"/>
  <c r="FA9" i="1"/>
  <c r="FA10" i="1"/>
  <c r="FA7" i="1"/>
  <c r="FA8" i="1"/>
  <c r="FA11" i="1"/>
  <c r="FE22" i="1"/>
  <c r="FB22" i="1" s="1"/>
  <c r="FG22" i="1"/>
  <c r="FB24" i="1" s="1"/>
  <c r="FF22" i="1"/>
  <c r="FB23" i="1" s="1"/>
  <c r="FH22" i="1"/>
  <c r="FB25" i="1" s="1"/>
  <c r="F21" i="13"/>
  <c r="F20" i="13"/>
  <c r="F19" i="13"/>
  <c r="F18" i="13"/>
  <c r="F17" i="13"/>
  <c r="F16" i="13"/>
  <c r="F15" i="13"/>
  <c r="F14" i="13"/>
  <c r="F13" i="13"/>
  <c r="F12" i="13"/>
  <c r="F11" i="13"/>
  <c r="F10" i="13"/>
  <c r="F9" i="13"/>
  <c r="F8" i="13"/>
  <c r="F7" i="13"/>
  <c r="AJ12" i="14" l="1"/>
  <c r="AJ8" i="14"/>
  <c r="AJ11" i="14"/>
  <c r="AH13" i="14"/>
  <c r="AG13" i="14"/>
  <c r="AH14" i="14"/>
  <c r="AH17" i="14"/>
  <c r="AF20" i="14"/>
  <c r="AE20" i="14"/>
  <c r="AI20" i="14" s="1"/>
  <c r="AI17" i="14"/>
  <c r="AF22" i="14"/>
  <c r="AE22" i="14"/>
  <c r="AK23" i="14"/>
  <c r="AJ16" i="14"/>
  <c r="AD16" i="14"/>
  <c r="AJ18" i="14"/>
  <c r="AD18" i="14"/>
  <c r="AJ13" i="14"/>
  <c r="AD13" i="14"/>
  <c r="AI16" i="14"/>
  <c r="AI18" i="14"/>
  <c r="AJ14" i="14"/>
  <c r="AD14" i="14"/>
  <c r="AH16" i="14"/>
  <c r="AE21" i="14"/>
  <c r="AH21" i="14" s="1"/>
  <c r="AF21" i="14"/>
  <c r="AK15" i="14"/>
  <c r="AH18" i="14"/>
  <c r="AI14" i="14"/>
  <c r="AK19" i="14"/>
  <c r="AG16" i="14"/>
  <c r="AJ17" i="14"/>
  <c r="AD17" i="14"/>
  <c r="Y9" i="14"/>
  <c r="Z9" i="14" s="1"/>
  <c r="AA9" i="14" s="1"/>
  <c r="Y8" i="14"/>
  <c r="Z8" i="14" s="1"/>
  <c r="AA8" i="14" s="1"/>
  <c r="AI7" i="14"/>
  <c r="AH7" i="14"/>
  <c r="C8" i="13"/>
  <c r="AA7" i="14"/>
  <c r="AB24" i="14"/>
  <c r="AD7" i="14"/>
  <c r="P11" i="14"/>
  <c r="P7" i="14"/>
  <c r="P15" i="14"/>
  <c r="P9" i="14"/>
  <c r="P12" i="14"/>
  <c r="P16" i="14"/>
  <c r="P13" i="14"/>
  <c r="P17" i="14"/>
  <c r="P10" i="14"/>
  <c r="P18" i="14"/>
  <c r="P14" i="14"/>
  <c r="Y10" i="14"/>
  <c r="Z10" i="14" s="1"/>
  <c r="W11" i="14"/>
  <c r="X11" i="14" s="1"/>
  <c r="FA22" i="1"/>
  <c r="FA23" i="1" s="1"/>
  <c r="EW18" i="1"/>
  <c r="EW19" i="1"/>
  <c r="Y18" i="1"/>
  <c r="Z18" i="1"/>
  <c r="AA18" i="1"/>
  <c r="AB18" i="1"/>
  <c r="AC18" i="1"/>
  <c r="AD18" i="1"/>
  <c r="AE18" i="1"/>
  <c r="AF18" i="1"/>
  <c r="AG18" i="1"/>
  <c r="AH18" i="1"/>
  <c r="AI18" i="1"/>
  <c r="AJ18" i="1"/>
  <c r="AK18" i="1"/>
  <c r="AL18" i="1"/>
  <c r="AM18" i="1"/>
  <c r="AN18" i="1"/>
  <c r="AO18" i="1"/>
  <c r="AP18" i="1"/>
  <c r="AQ18" i="1"/>
  <c r="Y19" i="1"/>
  <c r="Z19" i="1"/>
  <c r="AA19" i="1"/>
  <c r="AB19" i="1"/>
  <c r="AC19" i="1"/>
  <c r="AD19" i="1"/>
  <c r="AE19" i="1"/>
  <c r="AF19" i="1"/>
  <c r="AG19" i="1"/>
  <c r="AH19" i="1"/>
  <c r="AI19" i="1"/>
  <c r="AJ19" i="1"/>
  <c r="AK19" i="1"/>
  <c r="AL19" i="1"/>
  <c r="AM19" i="1"/>
  <c r="AN19" i="1"/>
  <c r="AO19" i="1"/>
  <c r="AP19" i="1"/>
  <c r="AQ19" i="1"/>
  <c r="CL18" i="1"/>
  <c r="CM18" i="1"/>
  <c r="CN18" i="1"/>
  <c r="CO18" i="1"/>
  <c r="CP18" i="1"/>
  <c r="CQ18" i="1"/>
  <c r="CR18" i="1"/>
  <c r="CS18" i="1"/>
  <c r="CT18" i="1"/>
  <c r="CU18" i="1"/>
  <c r="CV18" i="1"/>
  <c r="CW18" i="1"/>
  <c r="CX18" i="1"/>
  <c r="CY18" i="1"/>
  <c r="CZ18" i="1"/>
  <c r="DA18" i="1"/>
  <c r="DB18" i="1"/>
  <c r="DC18" i="1"/>
  <c r="DD18" i="1"/>
  <c r="CL19" i="1"/>
  <c r="CM19" i="1"/>
  <c r="CN19" i="1"/>
  <c r="CO19" i="1"/>
  <c r="CP19" i="1"/>
  <c r="CQ19" i="1"/>
  <c r="CR19" i="1"/>
  <c r="CS19" i="1"/>
  <c r="CT19" i="1"/>
  <c r="CU19" i="1"/>
  <c r="CV19" i="1"/>
  <c r="CW19" i="1"/>
  <c r="CX19" i="1"/>
  <c r="CY19" i="1"/>
  <c r="CZ19" i="1"/>
  <c r="DA19" i="1"/>
  <c r="DB19" i="1"/>
  <c r="DC19" i="1"/>
  <c r="DD19" i="1"/>
  <c r="AK8" i="14" l="1"/>
  <c r="AI21" i="14"/>
  <c r="AK11" i="14"/>
  <c r="AK10" i="14"/>
  <c r="AK12" i="14"/>
  <c r="AK9" i="14"/>
  <c r="AG21" i="14"/>
  <c r="AK14" i="14"/>
  <c r="AD22" i="14"/>
  <c r="AK18" i="14"/>
  <c r="AI22" i="14"/>
  <c r="AK13" i="14"/>
  <c r="AH22" i="14"/>
  <c r="AG22" i="14"/>
  <c r="AK17" i="14"/>
  <c r="AD20" i="14"/>
  <c r="AD21" i="14"/>
  <c r="AK16" i="14"/>
  <c r="AH20" i="14"/>
  <c r="AG20" i="14"/>
  <c r="FA25" i="1"/>
  <c r="AJ7" i="14"/>
  <c r="AE24" i="14"/>
  <c r="Y11" i="14"/>
  <c r="AA10" i="14"/>
  <c r="W12" i="14"/>
  <c r="X12" i="14" s="1"/>
  <c r="FA24" i="1"/>
  <c r="B3" i="9"/>
  <c r="AJ21" i="14" l="1"/>
  <c r="AK21" i="14" s="1"/>
  <c r="AJ22" i="14"/>
  <c r="AJ20" i="14"/>
  <c r="AK7" i="14"/>
  <c r="I21" i="13"/>
  <c r="K19" i="13"/>
  <c r="K21" i="13"/>
  <c r="K20" i="13"/>
  <c r="J21" i="13"/>
  <c r="J19" i="13"/>
  <c r="J20" i="13"/>
  <c r="I19" i="13"/>
  <c r="I20" i="13"/>
  <c r="EY13" i="13"/>
  <c r="C15" i="13"/>
  <c r="Y12" i="14"/>
  <c r="Z11" i="14"/>
  <c r="AA11" i="14" s="1"/>
  <c r="W13" i="14"/>
  <c r="X13" i="14" s="1"/>
  <c r="B12" i="13"/>
  <c r="EX12" i="13" s="1"/>
  <c r="B10" i="13"/>
  <c r="EX10" i="13" s="1"/>
  <c r="C7" i="13"/>
  <c r="B7" i="13"/>
  <c r="EX7" i="13" s="1"/>
  <c r="EY8" i="13"/>
  <c r="C12" i="13"/>
  <c r="CU12" i="13" s="1"/>
  <c r="EY11" i="13"/>
  <c r="C10" i="13"/>
  <c r="B9" i="13"/>
  <c r="EX9" i="13" s="1"/>
  <c r="EY9" i="13"/>
  <c r="B11" i="13"/>
  <c r="EX11" i="13" s="1"/>
  <c r="EY12" i="13"/>
  <c r="C11" i="13"/>
  <c r="EY7" i="13"/>
  <c r="B8" i="13"/>
  <c r="EX8" i="13" s="1"/>
  <c r="EY10" i="13"/>
  <c r="C9" i="13"/>
  <c r="EY14" i="13"/>
  <c r="EY17" i="13"/>
  <c r="EY15" i="13"/>
  <c r="EY20" i="13"/>
  <c r="EY18" i="13"/>
  <c r="EY21" i="13"/>
  <c r="EY19" i="13"/>
  <c r="EY16" i="13"/>
  <c r="C19" i="13"/>
  <c r="AJ19" i="13" s="1"/>
  <c r="C21" i="13"/>
  <c r="AJ21" i="13" s="1"/>
  <c r="B13" i="13"/>
  <c r="EX13" i="13" s="1"/>
  <c r="C16" i="13"/>
  <c r="C18" i="13"/>
  <c r="B15" i="13"/>
  <c r="EX15" i="13" s="1"/>
  <c r="B19" i="13"/>
  <c r="EX19" i="13" s="1"/>
  <c r="B14" i="13"/>
  <c r="EX14" i="13" s="1"/>
  <c r="C14" i="13"/>
  <c r="B16" i="13"/>
  <c r="EX16" i="13" s="1"/>
  <c r="B21" i="13"/>
  <c r="EX21" i="13" s="1"/>
  <c r="C13" i="13"/>
  <c r="C20" i="13"/>
  <c r="B17" i="13"/>
  <c r="EX17" i="13" s="1"/>
  <c r="B20" i="13"/>
  <c r="EX20" i="13" s="1"/>
  <c r="C17" i="13"/>
  <c r="B18" i="13"/>
  <c r="EX18" i="13" s="1"/>
  <c r="EW9" i="1"/>
  <c r="EW11" i="1"/>
  <c r="EW12" i="1"/>
  <c r="EW13" i="1"/>
  <c r="EW14" i="1"/>
  <c r="EW15" i="1"/>
  <c r="EW17" i="1"/>
  <c r="H7" i="1"/>
  <c r="AL10" i="14" l="1"/>
  <c r="AL22" i="14"/>
  <c r="AK22" i="14"/>
  <c r="AL14" i="14"/>
  <c r="AL11" i="14"/>
  <c r="AL9" i="14"/>
  <c r="AL19" i="14"/>
  <c r="AL21" i="14"/>
  <c r="AL15" i="14"/>
  <c r="AL16" i="14"/>
  <c r="AL8" i="14"/>
  <c r="AK20" i="14"/>
  <c r="AL18" i="14"/>
  <c r="AL12" i="14"/>
  <c r="AL20" i="14"/>
  <c r="AL23" i="14"/>
  <c r="AL13" i="14"/>
  <c r="AL17" i="14"/>
  <c r="AL7" i="14"/>
  <c r="Y13" i="14"/>
  <c r="Z12" i="14"/>
  <c r="AA12" i="14" s="1"/>
  <c r="W14" i="14"/>
  <c r="X14" i="14" s="1"/>
  <c r="AE12" i="13"/>
  <c r="CZ12" i="13"/>
  <c r="AL12" i="13"/>
  <c r="AM12" i="13"/>
  <c r="CR12" i="13"/>
  <c r="AJ12" i="13"/>
  <c r="AB12" i="13"/>
  <c r="DB12" i="13"/>
  <c r="Z12" i="13"/>
  <c r="AP12" i="13"/>
  <c r="CP12" i="13"/>
  <c r="DA12" i="13"/>
  <c r="CW12" i="13"/>
  <c r="AK12" i="13"/>
  <c r="AQ12" i="13"/>
  <c r="DE8" i="13"/>
  <c r="AL8" i="13"/>
  <c r="CR8" i="13"/>
  <c r="AJ8" i="13"/>
  <c r="CT8" i="13"/>
  <c r="CS8" i="13"/>
  <c r="DD8" i="13"/>
  <c r="AB8" i="13"/>
  <c r="AG8" i="13"/>
  <c r="CW8" i="13"/>
  <c r="AD8" i="13"/>
  <c r="AP8" i="13"/>
  <c r="AN8" i="13"/>
  <c r="AF8" i="13"/>
  <c r="AE8" i="13"/>
  <c r="CQ8" i="13"/>
  <c r="CX8" i="13"/>
  <c r="DB8" i="13"/>
  <c r="CO8" i="13"/>
  <c r="DC8" i="13"/>
  <c r="AH8" i="13"/>
  <c r="AI8" i="13"/>
  <c r="DA8" i="13"/>
  <c r="CN8" i="13"/>
  <c r="AM8" i="13"/>
  <c r="CU8" i="13"/>
  <c r="Z8" i="13"/>
  <c r="AR8" i="13"/>
  <c r="CY8" i="13"/>
  <c r="CM8" i="13"/>
  <c r="AK8" i="13"/>
  <c r="AA8" i="13"/>
  <c r="AO8" i="13"/>
  <c r="CV8" i="13"/>
  <c r="AC8" i="13"/>
  <c r="CP8" i="13"/>
  <c r="AQ8" i="13"/>
  <c r="CZ8" i="13"/>
  <c r="CS12" i="13"/>
  <c r="AG12" i="13"/>
  <c r="CM12" i="13"/>
  <c r="DA10" i="13"/>
  <c r="AG10" i="13"/>
  <c r="AM10" i="13"/>
  <c r="AH10" i="13"/>
  <c r="Z10" i="13"/>
  <c r="AA10" i="13"/>
  <c r="AR10" i="13"/>
  <c r="AK10" i="13"/>
  <c r="CS10" i="13"/>
  <c r="CX10" i="13"/>
  <c r="AE10" i="13"/>
  <c r="CM10" i="13"/>
  <c r="AP10" i="13"/>
  <c r="DE10" i="13"/>
  <c r="AC10" i="13"/>
  <c r="CV10" i="13"/>
  <c r="AQ10" i="13"/>
  <c r="CP10" i="13"/>
  <c r="DB10" i="13"/>
  <c r="CU10" i="13"/>
  <c r="DC10" i="13"/>
  <c r="AI10" i="13"/>
  <c r="AN10" i="13"/>
  <c r="CT10" i="13"/>
  <c r="AD10" i="13"/>
  <c r="CZ10" i="13"/>
  <c r="AF10" i="13"/>
  <c r="CR10" i="13"/>
  <c r="CY10" i="13"/>
  <c r="AJ10" i="13"/>
  <c r="AL10" i="13"/>
  <c r="CO10" i="13"/>
  <c r="CQ10" i="13"/>
  <c r="CW10" i="13"/>
  <c r="AB10" i="13"/>
  <c r="DD10" i="13"/>
  <c r="AO10" i="13"/>
  <c r="CN10" i="13"/>
  <c r="DD12" i="13"/>
  <c r="CT12" i="13"/>
  <c r="CV12" i="13"/>
  <c r="AH12" i="13"/>
  <c r="AD12" i="13"/>
  <c r="AA12" i="13"/>
  <c r="DE12" i="13"/>
  <c r="AC12" i="13"/>
  <c r="CO12" i="13"/>
  <c r="CY12" i="13"/>
  <c r="CX12" i="13"/>
  <c r="CR11" i="13"/>
  <c r="CX11" i="13"/>
  <c r="AC11" i="13"/>
  <c r="AD11" i="13"/>
  <c r="DC11" i="13"/>
  <c r="CU11" i="13"/>
  <c r="CZ11" i="13"/>
  <c r="AP11" i="13"/>
  <c r="CP11" i="13"/>
  <c r="CW11" i="13"/>
  <c r="DD11" i="13"/>
  <c r="CY11" i="13"/>
  <c r="AM11" i="13"/>
  <c r="AL11" i="13"/>
  <c r="DB11" i="13"/>
  <c r="AH11" i="13"/>
  <c r="AN11" i="13"/>
  <c r="AI11" i="13"/>
  <c r="CO11" i="13"/>
  <c r="AQ11" i="13"/>
  <c r="CQ11" i="13"/>
  <c r="AG11" i="13"/>
  <c r="CT11" i="13"/>
  <c r="Z11" i="13"/>
  <c r="AF11" i="13"/>
  <c r="AE11" i="13"/>
  <c r="AA11" i="13"/>
  <c r="AR11" i="13"/>
  <c r="CN11" i="13"/>
  <c r="AJ11" i="13"/>
  <c r="DE11" i="13"/>
  <c r="CS11" i="13"/>
  <c r="AB11" i="13"/>
  <c r="AO11" i="13"/>
  <c r="CM11" i="13"/>
  <c r="CV11" i="13"/>
  <c r="DA11" i="13"/>
  <c r="AK11" i="13"/>
  <c r="AO12" i="13"/>
  <c r="AN12" i="13"/>
  <c r="CQ12" i="13"/>
  <c r="AI12" i="13"/>
  <c r="DC12" i="13"/>
  <c r="CX7" i="13"/>
  <c r="AC7" i="13"/>
  <c r="AO7" i="13"/>
  <c r="CS7" i="13"/>
  <c r="DD7" i="13"/>
  <c r="AI7" i="13"/>
  <c r="CU7" i="13"/>
  <c r="Z7" i="13"/>
  <c r="AK7" i="13"/>
  <c r="CP7" i="13"/>
  <c r="DB7" i="13"/>
  <c r="AG7" i="13"/>
  <c r="AD7" i="13"/>
  <c r="DA7" i="13"/>
  <c r="DC7" i="13"/>
  <c r="AM7" i="13"/>
  <c r="CN7" i="13"/>
  <c r="AN7" i="13"/>
  <c r="CT7" i="13"/>
  <c r="CV7" i="13"/>
  <c r="CR7" i="13"/>
  <c r="AP7" i="13"/>
  <c r="AJ7" i="13"/>
  <c r="DE7" i="13"/>
  <c r="CQ7" i="13"/>
  <c r="AF7" i="13"/>
  <c r="AR7" i="13"/>
  <c r="AL7" i="13"/>
  <c r="AH7" i="13"/>
  <c r="CW7" i="13"/>
  <c r="AA7" i="13"/>
  <c r="AB7" i="13"/>
  <c r="AE7" i="13"/>
  <c r="CM7" i="13"/>
  <c r="CY7" i="13"/>
  <c r="AQ7" i="13"/>
  <c r="CO7" i="13"/>
  <c r="CZ7" i="13"/>
  <c r="AF12" i="13"/>
  <c r="CN12" i="13"/>
  <c r="AR12" i="13"/>
  <c r="AP9" i="13"/>
  <c r="CW9" i="13"/>
  <c r="AD9" i="13"/>
  <c r="CT9" i="13"/>
  <c r="CM9" i="13"/>
  <c r="AI9" i="13"/>
  <c r="CV9" i="13"/>
  <c r="DE9" i="13"/>
  <c r="AH9" i="13"/>
  <c r="CO9" i="13"/>
  <c r="DA9" i="13"/>
  <c r="DC9" i="13"/>
  <c r="AK9" i="13"/>
  <c r="AN9" i="13"/>
  <c r="AA9" i="13"/>
  <c r="AR9" i="13"/>
  <c r="Z9" i="13"/>
  <c r="AM9" i="13"/>
  <c r="CS9" i="13"/>
  <c r="DB9" i="13"/>
  <c r="CY9" i="13"/>
  <c r="AO9" i="13"/>
  <c r="CR9" i="13"/>
  <c r="CX9" i="13"/>
  <c r="AE9" i="13"/>
  <c r="AQ9" i="13"/>
  <c r="AC9" i="13"/>
  <c r="AJ9" i="13"/>
  <c r="CP9" i="13"/>
  <c r="DD9" i="13"/>
  <c r="CQ9" i="13"/>
  <c r="AG9" i="13"/>
  <c r="CZ9" i="13"/>
  <c r="AF9" i="13"/>
  <c r="CN9" i="13"/>
  <c r="CU9" i="13"/>
  <c r="AB9" i="13"/>
  <c r="AL9" i="13"/>
  <c r="EY22" i="13"/>
  <c r="DC19" i="13"/>
  <c r="CZ19" i="13"/>
  <c r="AE19" i="13"/>
  <c r="Z19" i="13"/>
  <c r="CO19" i="13"/>
  <c r="AR19" i="13"/>
  <c r="CU19" i="13"/>
  <c r="CQ19" i="13"/>
  <c r="CS19" i="13"/>
  <c r="AM19" i="13"/>
  <c r="DE19" i="13"/>
  <c r="DD19" i="13"/>
  <c r="CR19" i="13"/>
  <c r="AG19" i="13"/>
  <c r="CP19" i="13"/>
  <c r="AH19" i="13"/>
  <c r="AD19" i="13"/>
  <c r="CV19" i="13"/>
  <c r="CW19" i="13"/>
  <c r="AI19" i="13"/>
  <c r="AK19" i="13"/>
  <c r="AP19" i="13"/>
  <c r="AA19" i="13"/>
  <c r="AL19" i="13"/>
  <c r="AO19" i="13"/>
  <c r="AB19" i="13"/>
  <c r="DA19" i="13"/>
  <c r="AC19" i="13"/>
  <c r="AF19" i="13"/>
  <c r="CY19" i="13"/>
  <c r="CM19" i="13"/>
  <c r="AQ19" i="13"/>
  <c r="CX19" i="13"/>
  <c r="AN19" i="13"/>
  <c r="CN19" i="13"/>
  <c r="DB19" i="13"/>
  <c r="CT19" i="13"/>
  <c r="AH21" i="13"/>
  <c r="DA21" i="13"/>
  <c r="AF21" i="13"/>
  <c r="AG21" i="13"/>
  <c r="AA21" i="13"/>
  <c r="CN21" i="13"/>
  <c r="CY21" i="13"/>
  <c r="CZ21" i="13"/>
  <c r="AD21" i="13"/>
  <c r="CS21" i="13"/>
  <c r="AM21" i="13"/>
  <c r="AP21" i="13"/>
  <c r="AQ21" i="13"/>
  <c r="CT21" i="13"/>
  <c r="CU21" i="13"/>
  <c r="CQ21" i="13"/>
  <c r="AI21" i="13"/>
  <c r="AK21" i="13"/>
  <c r="CO21" i="13"/>
  <c r="CP21" i="13"/>
  <c r="AB21" i="13"/>
  <c r="CM21" i="13"/>
  <c r="AN21" i="13"/>
  <c r="AO21" i="13"/>
  <c r="CR21" i="13"/>
  <c r="DE21" i="13"/>
  <c r="CV21" i="13"/>
  <c r="AR21" i="13"/>
  <c r="DC21" i="13"/>
  <c r="AC21" i="13"/>
  <c r="CX21" i="13"/>
  <c r="DD21" i="13"/>
  <c r="DB21" i="13"/>
  <c r="Z21" i="13"/>
  <c r="CW21" i="13"/>
  <c r="AE21" i="13"/>
  <c r="AL21" i="13"/>
  <c r="AK20" i="13"/>
  <c r="AA20" i="13"/>
  <c r="AO20" i="13"/>
  <c r="AR20" i="13"/>
  <c r="AM20" i="13"/>
  <c r="AC20" i="13"/>
  <c r="CZ20" i="13"/>
  <c r="AG20" i="13"/>
  <c r="AB20" i="13"/>
  <c r="CO20" i="13"/>
  <c r="CT20" i="13"/>
  <c r="CR20" i="13"/>
  <c r="DD20" i="13"/>
  <c r="DE20" i="13"/>
  <c r="AF20" i="13"/>
  <c r="AJ20" i="13"/>
  <c r="AP20" i="13"/>
  <c r="CV20" i="13"/>
  <c r="AE20" i="13"/>
  <c r="CU20" i="13"/>
  <c r="DA20" i="13"/>
  <c r="AH20" i="13"/>
  <c r="CN20" i="13"/>
  <c r="AN20" i="13"/>
  <c r="CY20" i="13"/>
  <c r="CW20" i="13"/>
  <c r="DC20" i="13"/>
  <c r="CS20" i="13"/>
  <c r="Z20" i="13"/>
  <c r="AL20" i="13"/>
  <c r="CX20" i="13"/>
  <c r="AQ20" i="13"/>
  <c r="AD20" i="13"/>
  <c r="CM20" i="13"/>
  <c r="AI20" i="13"/>
  <c r="CQ20" i="13"/>
  <c r="DB20" i="13"/>
  <c r="CP20" i="13"/>
  <c r="CS18" i="13"/>
  <c r="CQ18" i="13"/>
  <c r="CW18" i="13"/>
  <c r="AB18" i="13"/>
  <c r="CM18" i="13"/>
  <c r="AQ18" i="13"/>
  <c r="AO18" i="13"/>
  <c r="CO18" i="13"/>
  <c r="AP18" i="13"/>
  <c r="AL18" i="13"/>
  <c r="AI18" i="13"/>
  <c r="AG18" i="13"/>
  <c r="AM18" i="13"/>
  <c r="Z18" i="13"/>
  <c r="AC18" i="13"/>
  <c r="AA18" i="13"/>
  <c r="CX18" i="13"/>
  <c r="AE18" i="13"/>
  <c r="CU18" i="13"/>
  <c r="AK18" i="13"/>
  <c r="CZ18" i="13"/>
  <c r="CP18" i="13"/>
  <c r="DB18" i="13"/>
  <c r="AD18" i="13"/>
  <c r="CV18" i="13"/>
  <c r="AF18" i="13"/>
  <c r="AH18" i="13"/>
  <c r="AN18" i="13"/>
  <c r="CT18" i="13"/>
  <c r="DC18" i="13"/>
  <c r="CR18" i="13"/>
  <c r="AR18" i="13"/>
  <c r="CN18" i="13"/>
  <c r="DA18" i="13"/>
  <c r="CY18" i="13"/>
  <c r="DE18" i="13"/>
  <c r="AJ18" i="13"/>
  <c r="DD18" i="13"/>
  <c r="AL13" i="13"/>
  <c r="CS13" i="13"/>
  <c r="Z13" i="13"/>
  <c r="AC13" i="13"/>
  <c r="AF13" i="13"/>
  <c r="AD13" i="13"/>
  <c r="AQ13" i="13"/>
  <c r="DE13" i="13"/>
  <c r="CY13" i="13"/>
  <c r="CQ13" i="13"/>
  <c r="DB13" i="13"/>
  <c r="AI13" i="13"/>
  <c r="CW13" i="13"/>
  <c r="AK13" i="13"/>
  <c r="AO13" i="13"/>
  <c r="CT13" i="13"/>
  <c r="AA13" i="13"/>
  <c r="CO13" i="13"/>
  <c r="CM13" i="13"/>
  <c r="AR13" i="13"/>
  <c r="CZ13" i="13"/>
  <c r="AM13" i="13"/>
  <c r="CX13" i="13"/>
  <c r="C22" i="13"/>
  <c r="CV13" i="13"/>
  <c r="AP13" i="13"/>
  <c r="CP13" i="13"/>
  <c r="DD13" i="13"/>
  <c r="AJ13" i="13"/>
  <c r="CR13" i="13"/>
  <c r="AE13" i="13"/>
  <c r="AG13" i="13"/>
  <c r="AB13" i="13"/>
  <c r="DC13" i="13"/>
  <c r="CN13" i="13"/>
  <c r="DA13" i="13"/>
  <c r="AH13" i="13"/>
  <c r="AN13" i="13"/>
  <c r="CU13" i="13"/>
  <c r="AE15" i="13"/>
  <c r="CU15" i="13"/>
  <c r="AB15" i="13"/>
  <c r="AH15" i="13"/>
  <c r="AA15" i="13"/>
  <c r="AD15" i="13"/>
  <c r="CW15" i="13"/>
  <c r="CM15" i="13"/>
  <c r="CY15" i="13"/>
  <c r="CR15" i="13"/>
  <c r="DD15" i="13"/>
  <c r="AK15" i="13"/>
  <c r="CQ15" i="13"/>
  <c r="AQ15" i="13"/>
  <c r="CZ15" i="13"/>
  <c r="CX15" i="13"/>
  <c r="CV15" i="13"/>
  <c r="AC15" i="13"/>
  <c r="AO15" i="13"/>
  <c r="DA15" i="13"/>
  <c r="CP15" i="13"/>
  <c r="CN15" i="13"/>
  <c r="DB15" i="13"/>
  <c r="AG15" i="13"/>
  <c r="AP15" i="13"/>
  <c r="AF15" i="13"/>
  <c r="AM15" i="13"/>
  <c r="AN15" i="13"/>
  <c r="AL15" i="13"/>
  <c r="CT15" i="13"/>
  <c r="DE15" i="13"/>
  <c r="AI15" i="13"/>
  <c r="CO15" i="13"/>
  <c r="DC15" i="13"/>
  <c r="AJ15" i="13"/>
  <c r="CS15" i="13"/>
  <c r="Z15" i="13"/>
  <c r="AR15" i="13"/>
  <c r="CM14" i="13"/>
  <c r="DA14" i="13"/>
  <c r="AF14" i="13"/>
  <c r="AL14" i="13"/>
  <c r="DE14" i="13"/>
  <c r="AK14" i="13"/>
  <c r="CS14" i="13"/>
  <c r="AP14" i="13"/>
  <c r="CY14" i="13"/>
  <c r="CW14" i="13"/>
  <c r="AC14" i="13"/>
  <c r="AQ14" i="13"/>
  <c r="AD14" i="13"/>
  <c r="AH14" i="13"/>
  <c r="CO14" i="13"/>
  <c r="DB14" i="13"/>
  <c r="AI14" i="13"/>
  <c r="CQ14" i="13"/>
  <c r="CV14" i="13"/>
  <c r="AM14" i="13"/>
  <c r="CT14" i="13"/>
  <c r="AA14" i="13"/>
  <c r="DD14" i="13"/>
  <c r="Z14" i="13"/>
  <c r="DC14" i="13"/>
  <c r="CP14" i="13"/>
  <c r="CN14" i="13"/>
  <c r="AE14" i="13"/>
  <c r="AR14" i="13"/>
  <c r="CX14" i="13"/>
  <c r="AO14" i="13"/>
  <c r="AG14" i="13"/>
  <c r="AJ14" i="13"/>
  <c r="CR14" i="13"/>
  <c r="CU14" i="13"/>
  <c r="AB14" i="13"/>
  <c r="AN14" i="13"/>
  <c r="CZ14" i="13"/>
  <c r="CQ17" i="13"/>
  <c r="CW17" i="13"/>
  <c r="AD17" i="13"/>
  <c r="AC17" i="13"/>
  <c r="AJ17" i="13"/>
  <c r="AG17" i="13"/>
  <c r="CO17" i="13"/>
  <c r="DA17" i="13"/>
  <c r="AR17" i="13"/>
  <c r="CY17" i="13"/>
  <c r="AM17" i="13"/>
  <c r="CS17" i="13"/>
  <c r="AK17" i="13"/>
  <c r="CZ17" i="13"/>
  <c r="CX17" i="13"/>
  <c r="AE17" i="13"/>
  <c r="AQ17" i="13"/>
  <c r="DB17" i="13"/>
  <c r="CR17" i="13"/>
  <c r="CP17" i="13"/>
  <c r="DD17" i="13"/>
  <c r="AI17" i="13"/>
  <c r="AB17" i="13"/>
  <c r="AF17" i="13"/>
  <c r="AO17" i="13"/>
  <c r="AP17" i="13"/>
  <c r="AN17" i="13"/>
  <c r="CV17" i="13"/>
  <c r="AA17" i="13"/>
  <c r="CU17" i="13"/>
  <c r="AH17" i="13"/>
  <c r="CN17" i="13"/>
  <c r="CT17" i="13"/>
  <c r="Z17" i="13"/>
  <c r="DE17" i="13"/>
  <c r="AL17" i="13"/>
  <c r="DC17" i="13"/>
  <c r="CM17" i="13"/>
  <c r="AF16" i="13"/>
  <c r="CV16" i="13"/>
  <c r="AC16" i="13"/>
  <c r="AJ16" i="13"/>
  <c r="AR16" i="13"/>
  <c r="CX16" i="13"/>
  <c r="CN16" i="13"/>
  <c r="CZ16" i="13"/>
  <c r="CT16" i="13"/>
  <c r="DE16" i="13"/>
  <c r="AL16" i="13"/>
  <c r="CR16" i="13"/>
  <c r="AI16" i="13"/>
  <c r="AG16" i="13"/>
  <c r="CY16" i="13"/>
  <c r="CW16" i="13"/>
  <c r="AD16" i="13"/>
  <c r="AP16" i="13"/>
  <c r="DB16" i="13"/>
  <c r="CS16" i="13"/>
  <c r="CQ16" i="13"/>
  <c r="CO16" i="13"/>
  <c r="DC16" i="13"/>
  <c r="AH16" i="13"/>
  <c r="AB16" i="13"/>
  <c r="CM16" i="13"/>
  <c r="AO16" i="13"/>
  <c r="AM16" i="13"/>
  <c r="CU16" i="13"/>
  <c r="Z16" i="13"/>
  <c r="AA16" i="13"/>
  <c r="AE16" i="13"/>
  <c r="AN16" i="13"/>
  <c r="CP16" i="13"/>
  <c r="DD16" i="13"/>
  <c r="AK16" i="13"/>
  <c r="AQ16" i="13"/>
  <c r="DA16" i="13"/>
  <c r="EW8" i="1"/>
  <c r="EW21" i="1"/>
  <c r="CL15" i="1"/>
  <c r="EW16" i="1"/>
  <c r="DA14" i="1"/>
  <c r="CR13" i="1"/>
  <c r="DD20" i="1"/>
  <c r="CV20" i="1"/>
  <c r="CN20" i="1"/>
  <c r="CP20" i="1"/>
  <c r="AD20" i="1"/>
  <c r="DC20" i="1"/>
  <c r="CU20" i="1"/>
  <c r="CM20" i="1"/>
  <c r="CX20" i="1"/>
  <c r="Z20" i="1"/>
  <c r="DB20" i="1"/>
  <c r="CT20" i="1"/>
  <c r="CL20" i="1"/>
  <c r="AA20" i="1"/>
  <c r="AC20" i="1"/>
  <c r="AE20" i="1"/>
  <c r="AG20" i="1"/>
  <c r="AI20" i="1"/>
  <c r="AK20" i="1"/>
  <c r="AM20" i="1"/>
  <c r="AO20" i="1"/>
  <c r="AQ20" i="1"/>
  <c r="AN20" i="1"/>
  <c r="AP20" i="1"/>
  <c r="DA20" i="1"/>
  <c r="CS20" i="1"/>
  <c r="CQ20" i="1"/>
  <c r="AB20" i="1"/>
  <c r="AF20" i="1"/>
  <c r="AH20" i="1"/>
  <c r="Y20" i="1"/>
  <c r="CZ20" i="1"/>
  <c r="CR20" i="1"/>
  <c r="CY20" i="1"/>
  <c r="AJ20" i="1"/>
  <c r="AL20" i="1"/>
  <c r="CW20" i="1"/>
  <c r="CO20" i="1"/>
  <c r="DD10" i="1"/>
  <c r="CV10" i="1"/>
  <c r="CN10" i="1"/>
  <c r="CX10" i="1"/>
  <c r="AB10" i="1"/>
  <c r="DC10" i="1"/>
  <c r="CU10" i="1"/>
  <c r="CM10" i="1"/>
  <c r="CQ10" i="1"/>
  <c r="AD10" i="1"/>
  <c r="AF10" i="1"/>
  <c r="AH10" i="1"/>
  <c r="AP10" i="1"/>
  <c r="DB10" i="1"/>
  <c r="CT10" i="1"/>
  <c r="CL10" i="1"/>
  <c r="AA10" i="1"/>
  <c r="AC10" i="1"/>
  <c r="AE10" i="1"/>
  <c r="AG10" i="1"/>
  <c r="AI10" i="1"/>
  <c r="AK10" i="1"/>
  <c r="AM10" i="1"/>
  <c r="AO10" i="1"/>
  <c r="AQ10" i="1"/>
  <c r="CP10" i="1"/>
  <c r="Z10" i="1"/>
  <c r="AL10" i="1"/>
  <c r="DA10" i="1"/>
  <c r="CS10" i="1"/>
  <c r="AJ10" i="1"/>
  <c r="CZ10" i="1"/>
  <c r="CR10" i="1"/>
  <c r="CY10" i="1"/>
  <c r="CW10" i="1"/>
  <c r="CO10" i="1"/>
  <c r="AN10" i="1"/>
  <c r="Y10" i="1"/>
  <c r="DB16" i="1"/>
  <c r="CT16" i="1"/>
  <c r="CL16" i="1"/>
  <c r="AA16" i="1"/>
  <c r="AC16" i="1"/>
  <c r="AE16" i="1"/>
  <c r="AG16" i="1"/>
  <c r="AI16" i="1"/>
  <c r="AK16" i="1"/>
  <c r="AM16" i="1"/>
  <c r="AO16" i="1"/>
  <c r="AQ16" i="1"/>
  <c r="CV16" i="1"/>
  <c r="DA16" i="1"/>
  <c r="CS16" i="1"/>
  <c r="CZ16" i="1"/>
  <c r="CR16" i="1"/>
  <c r="CW16" i="1"/>
  <c r="CN16" i="1"/>
  <c r="CY16" i="1"/>
  <c r="CQ16" i="1"/>
  <c r="DD16" i="1"/>
  <c r="CX16" i="1"/>
  <c r="CP16" i="1"/>
  <c r="Z16" i="1"/>
  <c r="AB16" i="1"/>
  <c r="AD16" i="1"/>
  <c r="AF16" i="1"/>
  <c r="AH16" i="1"/>
  <c r="AJ16" i="1"/>
  <c r="AL16" i="1"/>
  <c r="AN16" i="1"/>
  <c r="AP16" i="1"/>
  <c r="Y16" i="1"/>
  <c r="CO16" i="1"/>
  <c r="DC16" i="1"/>
  <c r="CU16" i="1"/>
  <c r="CM16" i="1"/>
  <c r="DB8" i="1"/>
  <c r="CT8" i="1"/>
  <c r="CL8" i="1"/>
  <c r="AA8" i="1"/>
  <c r="AC8" i="1"/>
  <c r="AE8" i="1"/>
  <c r="AG8" i="1"/>
  <c r="AI8" i="1"/>
  <c r="AK8" i="1"/>
  <c r="AM8" i="1"/>
  <c r="AO8" i="1"/>
  <c r="AQ8" i="1"/>
  <c r="CV8" i="1"/>
  <c r="DA8" i="1"/>
  <c r="CS8" i="1"/>
  <c r="CW8" i="1"/>
  <c r="CZ8" i="1"/>
  <c r="CR8" i="1"/>
  <c r="CY8" i="1"/>
  <c r="CQ8" i="1"/>
  <c r="CO8" i="1"/>
  <c r="CN8" i="1"/>
  <c r="CX8" i="1"/>
  <c r="CP8" i="1"/>
  <c r="Z8" i="1"/>
  <c r="AB8" i="1"/>
  <c r="AD8" i="1"/>
  <c r="AF8" i="1"/>
  <c r="AH8" i="1"/>
  <c r="AJ8" i="1"/>
  <c r="AL8" i="1"/>
  <c r="AN8" i="1"/>
  <c r="AP8" i="1"/>
  <c r="Y8" i="1"/>
  <c r="DD8" i="1"/>
  <c r="DC8" i="1"/>
  <c r="CU8" i="1"/>
  <c r="CM8" i="1"/>
  <c r="DA21" i="1"/>
  <c r="CS21" i="1"/>
  <c r="CZ21" i="1"/>
  <c r="CR21" i="1"/>
  <c r="AI21" i="1"/>
  <c r="DC21" i="1"/>
  <c r="CY21" i="1"/>
  <c r="CQ21" i="1"/>
  <c r="AK21" i="1"/>
  <c r="AM21" i="1"/>
  <c r="AQ21" i="1"/>
  <c r="DD21" i="1"/>
  <c r="CU21" i="1"/>
  <c r="CX21" i="1"/>
  <c r="CP21" i="1"/>
  <c r="AA21" i="1"/>
  <c r="AC21" i="1"/>
  <c r="AE21" i="1"/>
  <c r="AG21" i="1"/>
  <c r="AO21" i="1"/>
  <c r="CM21" i="1"/>
  <c r="CW21" i="1"/>
  <c r="CO21" i="1"/>
  <c r="CV21" i="1"/>
  <c r="CN21" i="1"/>
  <c r="DB21" i="1"/>
  <c r="CT21" i="1"/>
  <c r="CL21" i="1"/>
  <c r="Z21" i="1"/>
  <c r="AB21" i="1"/>
  <c r="AD21" i="1"/>
  <c r="AF21" i="1"/>
  <c r="AH21" i="1"/>
  <c r="AJ21" i="1"/>
  <c r="AL21" i="1"/>
  <c r="AN21" i="1"/>
  <c r="AP21" i="1"/>
  <c r="Y21" i="1"/>
  <c r="CV13" i="1"/>
  <c r="DD13" i="1"/>
  <c r="EW20" i="1"/>
  <c r="EW10" i="1"/>
  <c r="CS13" i="1"/>
  <c r="AN13" i="1"/>
  <c r="AL13" i="1"/>
  <c r="CL13" i="1"/>
  <c r="CT13" i="1"/>
  <c r="EW7" i="1"/>
  <c r="CM13" i="1"/>
  <c r="DC7" i="1"/>
  <c r="CU7" i="1"/>
  <c r="CM7" i="1"/>
  <c r="AG7" i="1"/>
  <c r="AO7" i="1"/>
  <c r="AE7" i="1"/>
  <c r="DB7" i="1"/>
  <c r="CT7" i="1"/>
  <c r="CL7" i="1"/>
  <c r="AD7" i="1"/>
  <c r="AL7" i="1"/>
  <c r="CO7" i="1"/>
  <c r="DA7" i="1"/>
  <c r="CS7" i="1"/>
  <c r="AA7" i="1"/>
  <c r="AI7" i="1"/>
  <c r="AQ7" i="1"/>
  <c r="CW7" i="1"/>
  <c r="CZ7" i="1"/>
  <c r="CR7" i="1"/>
  <c r="AF7" i="1"/>
  <c r="AN7" i="1"/>
  <c r="CY7" i="1"/>
  <c r="CQ7" i="1"/>
  <c r="AC7" i="1"/>
  <c r="AK7" i="1"/>
  <c r="CX7" i="1"/>
  <c r="CP7" i="1"/>
  <c r="Z7" i="1"/>
  <c r="AH7" i="1"/>
  <c r="AP7" i="1"/>
  <c r="DD7" i="1"/>
  <c r="CV7" i="1"/>
  <c r="CN7" i="1"/>
  <c r="AB7" i="1"/>
  <c r="AJ7" i="1"/>
  <c r="Y7" i="1"/>
  <c r="AM7" i="1"/>
  <c r="AM12" i="14" l="1"/>
  <c r="AN12" i="14" s="1"/>
  <c r="AM8" i="14"/>
  <c r="AO8" i="14" s="1"/>
  <c r="AM21" i="14"/>
  <c r="AN21" i="14" s="1"/>
  <c r="AM19" i="14"/>
  <c r="AO19" i="14" s="1"/>
  <c r="AM11" i="14"/>
  <c r="AM23" i="14"/>
  <c r="AM13" i="14"/>
  <c r="AO13" i="14" s="1"/>
  <c r="AM22" i="14"/>
  <c r="AM20" i="14"/>
  <c r="AM16" i="14"/>
  <c r="AM14" i="14"/>
  <c r="AM18" i="14"/>
  <c r="AM10" i="14"/>
  <c r="AM15" i="14"/>
  <c r="AM17" i="14"/>
  <c r="AM9" i="14"/>
  <c r="AM7" i="14"/>
  <c r="AN7" i="14" s="1"/>
  <c r="Y14" i="14"/>
  <c r="Z13" i="14"/>
  <c r="AA13" i="14" s="1"/>
  <c r="W15" i="14"/>
  <c r="X15" i="14" s="1"/>
  <c r="AX21" i="13"/>
  <c r="DV21" i="13"/>
  <c r="BB7" i="13"/>
  <c r="DW11" i="13"/>
  <c r="AU10" i="13"/>
  <c r="AY21" i="13"/>
  <c r="AZ21" i="13"/>
  <c r="DH11" i="13"/>
  <c r="DN11" i="13"/>
  <c r="DI16" i="13"/>
  <c r="DF16" i="13"/>
  <c r="BI16" i="13"/>
  <c r="DX16" i="13"/>
  <c r="DO16" i="13"/>
  <c r="AT17" i="13"/>
  <c r="BC14" i="13"/>
  <c r="DX15" i="13"/>
  <c r="DU18" i="13"/>
  <c r="DW16" i="13"/>
  <c r="BH16" i="13"/>
  <c r="DU16" i="13"/>
  <c r="BE16" i="13"/>
  <c r="AV16" i="13"/>
  <c r="BA12" i="13"/>
  <c r="BB9" i="13"/>
  <c r="BF19" i="13"/>
  <c r="BK8" i="13"/>
  <c r="DF17" i="13"/>
  <c r="DN17" i="13"/>
  <c r="BB17" i="13"/>
  <c r="DS17" i="13"/>
  <c r="AZ17" i="13"/>
  <c r="DQ11" i="13"/>
  <c r="BD7" i="13"/>
  <c r="BG10" i="13"/>
  <c r="DK14" i="13"/>
  <c r="DI14" i="13"/>
  <c r="DJ14" i="13"/>
  <c r="DP14" i="13"/>
  <c r="DT14" i="13"/>
  <c r="AZ10" i="13"/>
  <c r="BA11" i="13"/>
  <c r="DM19" i="13"/>
  <c r="BA8" i="13"/>
  <c r="AZ9" i="13"/>
  <c r="BB15" i="13"/>
  <c r="AZ15" i="13"/>
  <c r="DQ15" i="13"/>
  <c r="DF15" i="13"/>
  <c r="DP19" i="13"/>
  <c r="BF12" i="13"/>
  <c r="DV13" i="13"/>
  <c r="BI13" i="13"/>
  <c r="DH13" i="13"/>
  <c r="DJ13" i="13"/>
  <c r="DL13" i="13"/>
  <c r="BK18" i="13"/>
  <c r="AW18" i="13"/>
  <c r="AT18" i="13"/>
  <c r="DH18" i="13"/>
  <c r="DI20" i="13"/>
  <c r="BE20" i="13"/>
  <c r="BA20" i="13"/>
  <c r="DX20" i="13"/>
  <c r="AV20" i="13"/>
  <c r="AY19" i="13"/>
  <c r="DL11" i="13"/>
  <c r="AX8" i="13"/>
  <c r="BI19" i="13"/>
  <c r="BA19" i="13"/>
  <c r="BD17" i="13"/>
  <c r="BB14" i="13"/>
  <c r="DU15" i="13"/>
  <c r="BE13" i="13"/>
  <c r="BH18" i="13"/>
  <c r="BF20" i="13"/>
  <c r="DG12" i="13"/>
  <c r="DU19" i="13"/>
  <c r="BG16" i="13"/>
  <c r="AU16" i="13"/>
  <c r="AW16" i="13"/>
  <c r="DM16" i="13"/>
  <c r="AY16" i="13"/>
  <c r="AU11" i="13"/>
  <c r="BD10" i="13"/>
  <c r="AV11" i="13"/>
  <c r="AU7" i="13"/>
  <c r="BE17" i="13"/>
  <c r="DO17" i="13"/>
  <c r="DI17" i="13"/>
  <c r="DL17" i="13"/>
  <c r="AV17" i="13"/>
  <c r="DS11" i="13"/>
  <c r="AS8" i="13"/>
  <c r="BH8" i="13"/>
  <c r="AZ14" i="13"/>
  <c r="AS14" i="13"/>
  <c r="DU14" i="13"/>
  <c r="BI14" i="13"/>
  <c r="AT11" i="13"/>
  <c r="AX9" i="13"/>
  <c r="BF11" i="13"/>
  <c r="DP12" i="13"/>
  <c r="BK7" i="13"/>
  <c r="BK15" i="13"/>
  <c r="DM15" i="13"/>
  <c r="DG15" i="13"/>
  <c r="BJ15" i="13"/>
  <c r="AW15" i="13"/>
  <c r="BH12" i="13"/>
  <c r="AT7" i="13"/>
  <c r="AZ13" i="13"/>
  <c r="DM13" i="13"/>
  <c r="DX13" i="13"/>
  <c r="DW18" i="13"/>
  <c r="DV18" i="13"/>
  <c r="DI18" i="13"/>
  <c r="AS18" i="13"/>
  <c r="BJ18" i="13"/>
  <c r="DJ20" i="13"/>
  <c r="DL20" i="13"/>
  <c r="DN20" i="13"/>
  <c r="DK20" i="13"/>
  <c r="BK20" i="13"/>
  <c r="BC11" i="13"/>
  <c r="BH21" i="13"/>
  <c r="BC8" i="13"/>
  <c r="BB11" i="13"/>
  <c r="DS21" i="13"/>
  <c r="DV17" i="13"/>
  <c r="AZ7" i="13"/>
  <c r="DL21" i="13"/>
  <c r="DP15" i="13"/>
  <c r="DR13" i="13"/>
  <c r="DK18" i="13"/>
  <c r="DW20" i="13"/>
  <c r="DQ21" i="13"/>
  <c r="BH9" i="13"/>
  <c r="AX16" i="13"/>
  <c r="BA16" i="13"/>
  <c r="DP16" i="13"/>
  <c r="DS16" i="13"/>
  <c r="DU11" i="13"/>
  <c r="AZ19" i="13"/>
  <c r="BI7" i="13"/>
  <c r="BI21" i="13"/>
  <c r="BG8" i="13"/>
  <c r="DX17" i="13"/>
  <c r="BG17" i="13"/>
  <c r="DK17" i="13"/>
  <c r="BF17" i="13"/>
  <c r="AW17" i="13"/>
  <c r="DQ19" i="13"/>
  <c r="BF10" i="13"/>
  <c r="BK9" i="13"/>
  <c r="BH14" i="13"/>
  <c r="DW14" i="13"/>
  <c r="DH14" i="13"/>
  <c r="DL14" i="13"/>
  <c r="AW12" i="13"/>
  <c r="BE7" i="13"/>
  <c r="AX11" i="13"/>
  <c r="BE19" i="13"/>
  <c r="AT10" i="13"/>
  <c r="AS15" i="13"/>
  <c r="BE15" i="13"/>
  <c r="DI15" i="13"/>
  <c r="DJ15" i="13"/>
  <c r="AT15" i="13"/>
  <c r="AY11" i="13"/>
  <c r="DN13" i="13"/>
  <c r="AX13" i="13"/>
  <c r="DQ13" i="13"/>
  <c r="BH13" i="13"/>
  <c r="BJ13" i="13"/>
  <c r="BC18" i="13"/>
  <c r="DM18" i="13"/>
  <c r="DS18" i="13"/>
  <c r="BF18" i="13"/>
  <c r="DF18" i="13"/>
  <c r="BB20" i="13"/>
  <c r="DV20" i="13"/>
  <c r="AX20" i="13"/>
  <c r="DM20" i="13"/>
  <c r="BH20" i="13"/>
  <c r="BG11" i="13"/>
  <c r="BH11" i="13"/>
  <c r="AS9" i="13"/>
  <c r="BB12" i="13"/>
  <c r="BG12" i="13"/>
  <c r="BC17" i="13"/>
  <c r="DF14" i="13"/>
  <c r="BE9" i="13"/>
  <c r="AT13" i="13"/>
  <c r="AS20" i="13"/>
  <c r="AT16" i="13"/>
  <c r="DV16" i="13"/>
  <c r="DR16" i="13"/>
  <c r="DG16" i="13"/>
  <c r="AW11" i="13"/>
  <c r="BK21" i="13"/>
  <c r="AW10" i="13"/>
  <c r="AZ11" i="13"/>
  <c r="BE8" i="13"/>
  <c r="AS17" i="13"/>
  <c r="BI17" i="13"/>
  <c r="DU17" i="13"/>
  <c r="DR17" i="13"/>
  <c r="DP17" i="13"/>
  <c r="BC21" i="13"/>
  <c r="BC9" i="13"/>
  <c r="DS14" i="13"/>
  <c r="DQ14" i="13"/>
  <c r="AT14" i="13"/>
  <c r="BA14" i="13"/>
  <c r="BD14" i="13"/>
  <c r="AW21" i="13"/>
  <c r="AY10" i="13"/>
  <c r="BC12" i="13"/>
  <c r="BG7" i="13"/>
  <c r="DL15" i="13"/>
  <c r="BG15" i="13"/>
  <c r="DT15" i="13"/>
  <c r="BD15" i="13"/>
  <c r="BA15" i="13"/>
  <c r="AW19" i="13"/>
  <c r="AV10" i="13"/>
  <c r="BG13" i="13"/>
  <c r="DK13" i="13"/>
  <c r="BF13" i="13"/>
  <c r="BD13" i="13"/>
  <c r="AW13" i="13"/>
  <c r="DX18" i="13"/>
  <c r="BG18" i="13"/>
  <c r="BD18" i="13"/>
  <c r="AZ18" i="13"/>
  <c r="AU18" i="13"/>
  <c r="DF20" i="13"/>
  <c r="DP20" i="13"/>
  <c r="DO20" i="13"/>
  <c r="DH20" i="13"/>
  <c r="AT20" i="13"/>
  <c r="DM11" i="13"/>
  <c r="BD19" i="13"/>
  <c r="BI8" i="13"/>
  <c r="AS19" i="13"/>
  <c r="DM21" i="13"/>
  <c r="DW17" i="13"/>
  <c r="DV14" i="13"/>
  <c r="DS15" i="13"/>
  <c r="AW9" i="13"/>
  <c r="DT20" i="13"/>
  <c r="DT16" i="13"/>
  <c r="AS16" i="13"/>
  <c r="DH16" i="13"/>
  <c r="AZ16" i="13"/>
  <c r="DQ16" i="13"/>
  <c r="AS12" i="13"/>
  <c r="BD12" i="13"/>
  <c r="AV8" i="13"/>
  <c r="AV19" i="13"/>
  <c r="AZ8" i="13"/>
  <c r="DM17" i="13"/>
  <c r="BH17" i="13"/>
  <c r="BJ17" i="13"/>
  <c r="BK17" i="13"/>
  <c r="DJ17" i="13"/>
  <c r="BH19" i="13"/>
  <c r="BA7" i="13"/>
  <c r="BG14" i="13"/>
  <c r="BK14" i="13"/>
  <c r="DM14" i="13"/>
  <c r="AW14" i="13"/>
  <c r="DX14" i="13"/>
  <c r="BE21" i="13"/>
  <c r="BB10" i="13"/>
  <c r="DR12" i="13"/>
  <c r="AS7" i="13"/>
  <c r="BC7" i="13"/>
  <c r="BC15" i="13"/>
  <c r="BF15" i="13"/>
  <c r="BH15" i="13"/>
  <c r="DW15" i="13"/>
  <c r="AU15" i="13"/>
  <c r="BJ12" i="13"/>
  <c r="AY7" i="13"/>
  <c r="BA13" i="13"/>
  <c r="BC13" i="13"/>
  <c r="DS13" i="13"/>
  <c r="DP13" i="13"/>
  <c r="AY13" i="13"/>
  <c r="DR18" i="13"/>
  <c r="BA18" i="13"/>
  <c r="DN18" i="13"/>
  <c r="BB18" i="13"/>
  <c r="DP18" i="13"/>
  <c r="AW20" i="13"/>
  <c r="DR20" i="13"/>
  <c r="BI20" i="13"/>
  <c r="AU20" i="13"/>
  <c r="BD20" i="13"/>
  <c r="BI11" i="13"/>
  <c r="AV12" i="13"/>
  <c r="BI9" i="13"/>
  <c r="AU19" i="13"/>
  <c r="DO19" i="13"/>
  <c r="AY9" i="13"/>
  <c r="BA10" i="13"/>
  <c r="BB8" i="13"/>
  <c r="BE10" i="13"/>
  <c r="DO13" i="13"/>
  <c r="DU20" i="13"/>
  <c r="BJ16" i="13"/>
  <c r="DN16" i="13"/>
  <c r="DJ16" i="13"/>
  <c r="BB16" i="13"/>
  <c r="BK16" i="13"/>
  <c r="BD11" i="13"/>
  <c r="AU12" i="13"/>
  <c r="BJ9" i="13"/>
  <c r="BK12" i="13"/>
  <c r="AW7" i="13"/>
  <c r="DG17" i="13"/>
  <c r="AY17" i="13"/>
  <c r="AX17" i="13"/>
  <c r="DT17" i="13"/>
  <c r="AS21" i="13"/>
  <c r="DG11" i="13"/>
  <c r="BK10" i="13"/>
  <c r="AU14" i="13"/>
  <c r="AX14" i="13"/>
  <c r="BF14" i="13"/>
  <c r="BJ14" i="13"/>
  <c r="BE14" i="13"/>
  <c r="BJ11" i="13"/>
  <c r="BH7" i="13"/>
  <c r="BD21" i="13"/>
  <c r="BF8" i="13"/>
  <c r="BJ10" i="13"/>
  <c r="DV15" i="13"/>
  <c r="AY15" i="13"/>
  <c r="AV15" i="13"/>
  <c r="DK15" i="13"/>
  <c r="DN15" i="13"/>
  <c r="BA21" i="13"/>
  <c r="BF7" i="13"/>
  <c r="DT13" i="13"/>
  <c r="DW13" i="13"/>
  <c r="BK13" i="13"/>
  <c r="BB13" i="13"/>
  <c r="AV13" i="13"/>
  <c r="DT18" i="13"/>
  <c r="AY18" i="13"/>
  <c r="AX18" i="13"/>
  <c r="BE18" i="13"/>
  <c r="DJ18" i="13"/>
  <c r="BJ20" i="13"/>
  <c r="BG20" i="13"/>
  <c r="BC20" i="13"/>
  <c r="AZ20" i="13"/>
  <c r="DV12" i="13"/>
  <c r="AT21" i="13"/>
  <c r="AU8" i="13"/>
  <c r="BJ19" i="13"/>
  <c r="BC19" i="13"/>
  <c r="AU21" i="13"/>
  <c r="DR14" i="13"/>
  <c r="DT11" i="13"/>
  <c r="AU13" i="13"/>
  <c r="AV18" i="13"/>
  <c r="BD16" i="13"/>
  <c r="BF16" i="13"/>
  <c r="DL16" i="13"/>
  <c r="DK16" i="13"/>
  <c r="BC16" i="13"/>
  <c r="AX19" i="13"/>
  <c r="BG9" i="13"/>
  <c r="BD8" i="13"/>
  <c r="AS10" i="13"/>
  <c r="BI10" i="13"/>
  <c r="BA17" i="13"/>
  <c r="AU17" i="13"/>
  <c r="DQ17" i="13"/>
  <c r="DH17" i="13"/>
  <c r="AX12" i="13"/>
  <c r="AZ12" i="13"/>
  <c r="BD9" i="13"/>
  <c r="DN14" i="13"/>
  <c r="DG14" i="13"/>
  <c r="DO14" i="13"/>
  <c r="AV14" i="13"/>
  <c r="AY14" i="13"/>
  <c r="BB21" i="13"/>
  <c r="AX10" i="13"/>
  <c r="AX7" i="13"/>
  <c r="BH10" i="13"/>
  <c r="AV7" i="13"/>
  <c r="DH15" i="13"/>
  <c r="BI15" i="13"/>
  <c r="DO15" i="13"/>
  <c r="DR15" i="13"/>
  <c r="AX15" i="13"/>
  <c r="BK19" i="13"/>
  <c r="AW8" i="13"/>
  <c r="DG13" i="13"/>
  <c r="DI13" i="13"/>
  <c r="DN21" i="13"/>
  <c r="DF13" i="13"/>
  <c r="DV19" i="13"/>
  <c r="DS9" i="13"/>
  <c r="DF7" i="13"/>
  <c r="DN9" i="13"/>
  <c r="DG7" i="13"/>
  <c r="DR10" i="13"/>
  <c r="DK8" i="13"/>
  <c r="DG8" i="13"/>
  <c r="DT7" i="13"/>
  <c r="DV10" i="13"/>
  <c r="DJ12" i="13"/>
  <c r="DW19" i="13"/>
  <c r="DL12" i="13"/>
  <c r="DT12" i="13"/>
  <c r="DK21" i="13"/>
  <c r="DS19" i="13"/>
  <c r="DG21" i="13"/>
  <c r="DO21" i="13"/>
  <c r="DJ21" i="13"/>
  <c r="DR19" i="13"/>
  <c r="DG10" i="13"/>
  <c r="DW9" i="13"/>
  <c r="DP7" i="13"/>
  <c r="DK10" i="13"/>
  <c r="DK7" i="13"/>
  <c r="DM10" i="13"/>
  <c r="DO8" i="13"/>
  <c r="DN10" i="13"/>
  <c r="DW7" i="13"/>
  <c r="DW8" i="13"/>
  <c r="DP21" i="13"/>
  <c r="DT19" i="13"/>
  <c r="DO10" i="13"/>
  <c r="DN7" i="13"/>
  <c r="DI9" i="13"/>
  <c r="DX8" i="13"/>
  <c r="DO7" i="13"/>
  <c r="DU10" i="13"/>
  <c r="DL7" i="13"/>
  <c r="DJ8" i="13"/>
  <c r="DF10" i="13"/>
  <c r="DF9" i="13"/>
  <c r="DH12" i="13"/>
  <c r="DX11" i="13"/>
  <c r="DR21" i="13"/>
  <c r="DK11" i="13"/>
  <c r="DI19" i="13"/>
  <c r="DK19" i="13"/>
  <c r="DU12" i="13"/>
  <c r="DL19" i="13"/>
  <c r="DS12" i="13"/>
  <c r="DI12" i="13"/>
  <c r="DT8" i="13"/>
  <c r="DT10" i="13"/>
  <c r="DN8" i="13"/>
  <c r="DH10" i="13"/>
  <c r="DR9" i="13"/>
  <c r="DM7" i="13"/>
  <c r="DV9" i="13"/>
  <c r="DU7" i="13"/>
  <c r="DI10" i="13"/>
  <c r="DT21" i="13"/>
  <c r="DV11" i="13"/>
  <c r="DF12" i="13"/>
  <c r="DU21" i="13"/>
  <c r="DF8" i="13"/>
  <c r="DW10" i="13"/>
  <c r="DU9" i="13"/>
  <c r="DT9" i="13"/>
  <c r="DI7" i="13"/>
  <c r="DM9" i="13"/>
  <c r="DQ10" i="13"/>
  <c r="DF19" i="13"/>
  <c r="DH19" i="13"/>
  <c r="DP11" i="13"/>
  <c r="DS7" i="13"/>
  <c r="DO11" i="13"/>
  <c r="DO12" i="13"/>
  <c r="DI21" i="13"/>
  <c r="DX12" i="13"/>
  <c r="DR11" i="13"/>
  <c r="DN19" i="13"/>
  <c r="DW21" i="13"/>
  <c r="DX21" i="13"/>
  <c r="DR8" i="13"/>
  <c r="DH7" i="13"/>
  <c r="DJ9" i="13"/>
  <c r="DJ7" i="13"/>
  <c r="DV8" i="13"/>
  <c r="DL9" i="13"/>
  <c r="DU8" i="13"/>
  <c r="DH9" i="13"/>
  <c r="DQ7" i="13"/>
  <c r="DL10" i="13"/>
  <c r="DJ11" i="13"/>
  <c r="DM12" i="13"/>
  <c r="DK12" i="13"/>
  <c r="DN12" i="13"/>
  <c r="DF21" i="13"/>
  <c r="DG9" i="13"/>
  <c r="DR7" i="13"/>
  <c r="DO9" i="13"/>
  <c r="DX7" i="13"/>
  <c r="DJ10" i="13"/>
  <c r="DX10" i="13"/>
  <c r="DS8" i="13"/>
  <c r="DS10" i="13"/>
  <c r="DQ9" i="13"/>
  <c r="DI8" i="13"/>
  <c r="DP8" i="13"/>
  <c r="DK9" i="13"/>
  <c r="DI11" i="13"/>
  <c r="DF11" i="13"/>
  <c r="DM8" i="13"/>
  <c r="DX19" i="13"/>
  <c r="DG19" i="13"/>
  <c r="DQ8" i="13"/>
  <c r="DH21" i="13"/>
  <c r="DL8" i="13"/>
  <c r="DV7" i="13"/>
  <c r="DX9" i="13"/>
  <c r="DJ19" i="13"/>
  <c r="DH8" i="13"/>
  <c r="DW12" i="13"/>
  <c r="DP10" i="13"/>
  <c r="DP9" i="13"/>
  <c r="DU13" i="13"/>
  <c r="AS11" i="13"/>
  <c r="BE11" i="13"/>
  <c r="AT19" i="13"/>
  <c r="AY12" i="13"/>
  <c r="AS13" i="13"/>
  <c r="AU9" i="13"/>
  <c r="BC10" i="13"/>
  <c r="BI12" i="13"/>
  <c r="AT9" i="13"/>
  <c r="BF9" i="13"/>
  <c r="AT12" i="13"/>
  <c r="BK11" i="13"/>
  <c r="AT8" i="13"/>
  <c r="BA9" i="13"/>
  <c r="AV9" i="13"/>
  <c r="BJ21" i="13"/>
  <c r="BJ8" i="13"/>
  <c r="AY8" i="13"/>
  <c r="BF21" i="13"/>
  <c r="BJ7" i="13"/>
  <c r="DG18" i="13"/>
  <c r="DO18" i="13"/>
  <c r="DQ18" i="13"/>
  <c r="BI18" i="13"/>
  <c r="DL18" i="13"/>
  <c r="DQ20" i="13"/>
  <c r="DG20" i="13"/>
  <c r="AY20" i="13"/>
  <c r="DS20" i="13"/>
  <c r="AV21" i="13"/>
  <c r="BE12" i="13"/>
  <c r="BB19" i="13"/>
  <c r="BG21" i="13"/>
  <c r="BG19" i="13"/>
  <c r="DQ12" i="13"/>
  <c r="CV15" i="1"/>
  <c r="DB15" i="1"/>
  <c r="AF14" i="1"/>
  <c r="Y14" i="1"/>
  <c r="CS14" i="1"/>
  <c r="AB14" i="1"/>
  <c r="CN14" i="1"/>
  <c r="Z14" i="1"/>
  <c r="CM14" i="1"/>
  <c r="CN15" i="1"/>
  <c r="DA15" i="1"/>
  <c r="CM15" i="1"/>
  <c r="DC15" i="1"/>
  <c r="CT15" i="1"/>
  <c r="CS15" i="1"/>
  <c r="CU15" i="1"/>
  <c r="CQ14" i="1"/>
  <c r="AP14" i="1"/>
  <c r="CW14" i="1"/>
  <c r="DD14" i="1"/>
  <c r="CU13" i="1"/>
  <c r="DB13" i="1"/>
  <c r="AJ13" i="1"/>
  <c r="DA13" i="1"/>
  <c r="Z13" i="1"/>
  <c r="AP13" i="1"/>
  <c r="CN13" i="1"/>
  <c r="AB13" i="1"/>
  <c r="Y13" i="1"/>
  <c r="AD13" i="1"/>
  <c r="CY13" i="1"/>
  <c r="AF13" i="1"/>
  <c r="CZ13" i="1"/>
  <c r="CQ13" i="1"/>
  <c r="AH13" i="1"/>
  <c r="CR14" i="1"/>
  <c r="CY14" i="1"/>
  <c r="AD14" i="1"/>
  <c r="DC14" i="1"/>
  <c r="CO14" i="1"/>
  <c r="CV14" i="1"/>
  <c r="CX14" i="1"/>
  <c r="AH14" i="1"/>
  <c r="CP14" i="1"/>
  <c r="AJ14" i="1"/>
  <c r="CU14" i="1"/>
  <c r="AL14" i="1"/>
  <c r="AN14" i="1"/>
  <c r="DC13" i="1"/>
  <c r="AC13" i="1"/>
  <c r="AO13" i="1"/>
  <c r="AK13" i="1"/>
  <c r="CX13" i="1"/>
  <c r="AA13" i="1"/>
  <c r="AE13" i="1"/>
  <c r="AI13" i="1"/>
  <c r="AM13" i="1"/>
  <c r="AQ13" i="1"/>
  <c r="CW13" i="1"/>
  <c r="CP13" i="1"/>
  <c r="CO13" i="1"/>
  <c r="AG13" i="1"/>
  <c r="CZ14" i="1"/>
  <c r="DB14" i="1"/>
  <c r="AC14" i="1"/>
  <c r="AG14" i="1"/>
  <c r="AK14" i="1"/>
  <c r="AO14" i="1"/>
  <c r="CT14" i="1"/>
  <c r="CL14" i="1"/>
  <c r="AA14" i="1"/>
  <c r="AE14" i="1"/>
  <c r="AI14" i="1"/>
  <c r="AM14" i="1"/>
  <c r="AQ14" i="1"/>
  <c r="DD15" i="1"/>
  <c r="CO15" i="1"/>
  <c r="CZ15" i="1"/>
  <c r="AQ15" i="1"/>
  <c r="CP15" i="1"/>
  <c r="AF15" i="1"/>
  <c r="CY15" i="1"/>
  <c r="AC15" i="1"/>
  <c r="AG15" i="1"/>
  <c r="AK15" i="1"/>
  <c r="AO15" i="1"/>
  <c r="CX15" i="1"/>
  <c r="Z15" i="1"/>
  <c r="AD15" i="1"/>
  <c r="AH15" i="1"/>
  <c r="AL15" i="1"/>
  <c r="AP15" i="1"/>
  <c r="AA15" i="1"/>
  <c r="AM15" i="1"/>
  <c r="AB15" i="1"/>
  <c r="Y15" i="1"/>
  <c r="CW15" i="1"/>
  <c r="CR15" i="1"/>
  <c r="CQ15" i="1"/>
  <c r="AE15" i="1"/>
  <c r="AI15" i="1"/>
  <c r="AJ15" i="1"/>
  <c r="AN15" i="1"/>
  <c r="DA11" i="1"/>
  <c r="CS11" i="1"/>
  <c r="CU11" i="1"/>
  <c r="CZ11" i="1"/>
  <c r="CR11" i="1"/>
  <c r="AQ11" i="1"/>
  <c r="CY11" i="1"/>
  <c r="CQ11" i="1"/>
  <c r="AI11" i="1"/>
  <c r="AK11" i="1"/>
  <c r="AM11" i="1"/>
  <c r="CX11" i="1"/>
  <c r="CP11" i="1"/>
  <c r="AA11" i="1"/>
  <c r="AC11" i="1"/>
  <c r="AE11" i="1"/>
  <c r="AG11" i="1"/>
  <c r="AO11" i="1"/>
  <c r="DD11" i="1"/>
  <c r="CV11" i="1"/>
  <c r="CN11" i="1"/>
  <c r="DC11" i="1"/>
  <c r="CW11" i="1"/>
  <c r="CO11" i="1"/>
  <c r="CM11" i="1"/>
  <c r="DB11" i="1"/>
  <c r="CT11" i="1"/>
  <c r="CL11" i="1"/>
  <c r="Z11" i="1"/>
  <c r="AB11" i="1"/>
  <c r="AD11" i="1"/>
  <c r="AF11" i="1"/>
  <c r="AH11" i="1"/>
  <c r="AJ11" i="1"/>
  <c r="AL11" i="1"/>
  <c r="AN11" i="1"/>
  <c r="AP11" i="1"/>
  <c r="Y11" i="1"/>
  <c r="CY9" i="1"/>
  <c r="CQ9" i="1"/>
  <c r="CL9" i="1"/>
  <c r="AB9" i="1"/>
  <c r="AH9" i="1"/>
  <c r="AP9" i="1"/>
  <c r="CX9" i="1"/>
  <c r="CP9" i="1"/>
  <c r="AA9" i="1"/>
  <c r="AC9" i="1"/>
  <c r="AE9" i="1"/>
  <c r="AG9" i="1"/>
  <c r="AI9" i="1"/>
  <c r="AK9" i="1"/>
  <c r="AM9" i="1"/>
  <c r="AO9" i="1"/>
  <c r="AQ9" i="1"/>
  <c r="AN9" i="1"/>
  <c r="CS9" i="1"/>
  <c r="CW9" i="1"/>
  <c r="CO9" i="1"/>
  <c r="CT9" i="1"/>
  <c r="Z9" i="1"/>
  <c r="AJ9" i="1"/>
  <c r="AL9" i="1"/>
  <c r="DD9" i="1"/>
  <c r="CV9" i="1"/>
  <c r="CN9" i="1"/>
  <c r="DB9" i="1"/>
  <c r="DA9" i="1"/>
  <c r="DC9" i="1"/>
  <c r="CU9" i="1"/>
  <c r="CM9" i="1"/>
  <c r="AD9" i="1"/>
  <c r="AF9" i="1"/>
  <c r="Y9" i="1"/>
  <c r="CZ9" i="1"/>
  <c r="CR9" i="1"/>
  <c r="CY17" i="1"/>
  <c r="CQ17" i="1"/>
  <c r="AD17" i="1"/>
  <c r="AF17" i="1"/>
  <c r="CX17" i="1"/>
  <c r="CP17" i="1"/>
  <c r="AA17" i="1"/>
  <c r="AC17" i="1"/>
  <c r="AE17" i="1"/>
  <c r="AG17" i="1"/>
  <c r="AI17" i="1"/>
  <c r="AK17" i="1"/>
  <c r="AM17" i="1"/>
  <c r="AO17" i="1"/>
  <c r="AQ17" i="1"/>
  <c r="CL17" i="1"/>
  <c r="AH17" i="1"/>
  <c r="AJ17" i="1"/>
  <c r="AL17" i="1"/>
  <c r="CS17" i="1"/>
  <c r="CW17" i="1"/>
  <c r="CO17" i="1"/>
  <c r="DA17" i="1"/>
  <c r="DD17" i="1"/>
  <c r="CV17" i="1"/>
  <c r="CN17" i="1"/>
  <c r="AB17" i="1"/>
  <c r="Y17" i="1"/>
  <c r="DC17" i="1"/>
  <c r="CU17" i="1"/>
  <c r="CM17" i="1"/>
  <c r="DB17" i="1"/>
  <c r="CT17" i="1"/>
  <c r="Z17" i="1"/>
  <c r="AN17" i="1"/>
  <c r="AP17" i="1"/>
  <c r="CZ17" i="1"/>
  <c r="CR17" i="1"/>
  <c r="CX12" i="1"/>
  <c r="CP12" i="1"/>
  <c r="Z12" i="1"/>
  <c r="AB12" i="1"/>
  <c r="AD12" i="1"/>
  <c r="AF12" i="1"/>
  <c r="AH12" i="1"/>
  <c r="AJ12" i="1"/>
  <c r="AL12" i="1"/>
  <c r="AN12" i="1"/>
  <c r="AP12" i="1"/>
  <c r="Y12" i="1"/>
  <c r="CZ12" i="1"/>
  <c r="CW12" i="1"/>
  <c r="CO12" i="1"/>
  <c r="DD12" i="1"/>
  <c r="CV12" i="1"/>
  <c r="CN12" i="1"/>
  <c r="CR12" i="1"/>
  <c r="DC12" i="1"/>
  <c r="CU12" i="1"/>
  <c r="CM12" i="1"/>
  <c r="DA12" i="1"/>
  <c r="CS12" i="1"/>
  <c r="DB12" i="1"/>
  <c r="CT12" i="1"/>
  <c r="CL12" i="1"/>
  <c r="AA12" i="1"/>
  <c r="AC12" i="1"/>
  <c r="AE12" i="1"/>
  <c r="AG12" i="1"/>
  <c r="AI12" i="1"/>
  <c r="AK12" i="1"/>
  <c r="AM12" i="1"/>
  <c r="AO12" i="1"/>
  <c r="AQ12" i="1"/>
  <c r="CY12" i="1"/>
  <c r="CQ12" i="1"/>
  <c r="AN23" i="14" l="1"/>
  <c r="AN19" i="14"/>
  <c r="AN13" i="14"/>
  <c r="AN8" i="14"/>
  <c r="AN11" i="14"/>
  <c r="AO14" i="14"/>
  <c r="AN14" i="14"/>
  <c r="AO16" i="14"/>
  <c r="AN16" i="14"/>
  <c r="AO17" i="14"/>
  <c r="AN17" i="14"/>
  <c r="AO9" i="14"/>
  <c r="AN9" i="14"/>
  <c r="AO15" i="14"/>
  <c r="AN15" i="14"/>
  <c r="AN10" i="14"/>
  <c r="AN20" i="14"/>
  <c r="AO18" i="14"/>
  <c r="AN18" i="14"/>
  <c r="AO22" i="14"/>
  <c r="AN22" i="14"/>
  <c r="AO7" i="14"/>
  <c r="Z14" i="14"/>
  <c r="AA14" i="14" s="1"/>
  <c r="Y15" i="14"/>
  <c r="W16" i="14"/>
  <c r="X16" i="14" s="1"/>
  <c r="AF28" i="13" a="1"/>
  <c r="AF28" i="13" s="1"/>
  <c r="AT18" i="1"/>
  <c r="BF18" i="1"/>
  <c r="BG18" i="1"/>
  <c r="BI18" i="1"/>
  <c r="AY18" i="1"/>
  <c r="BA18" i="1"/>
  <c r="BJ18" i="1"/>
  <c r="AS18" i="1"/>
  <c r="BB19" i="1"/>
  <c r="BB18" i="1"/>
  <c r="BD18" i="1"/>
  <c r="BE18" i="1"/>
  <c r="BH18" i="1"/>
  <c r="AV18" i="1"/>
  <c r="AW18" i="1"/>
  <c r="AZ18" i="1"/>
  <c r="BC18" i="1"/>
  <c r="DU18" i="1"/>
  <c r="AX18" i="1"/>
  <c r="AR18" i="1"/>
  <c r="AU18" i="1"/>
  <c r="BG19" i="1"/>
  <c r="AZ19" i="1"/>
  <c r="AX19" i="1"/>
  <c r="AR19" i="1"/>
  <c r="AY19" i="1"/>
  <c r="AV19" i="1"/>
  <c r="BD19" i="1"/>
  <c r="AU19" i="1"/>
  <c r="BI19" i="1"/>
  <c r="AT19" i="1"/>
  <c r="DM18" i="1"/>
  <c r="AW19" i="1"/>
  <c r="BA19" i="1"/>
  <c r="BC19" i="1"/>
  <c r="DN18" i="1"/>
  <c r="BE19" i="1"/>
  <c r="AS19" i="1"/>
  <c r="BJ19" i="1"/>
  <c r="BF19" i="1"/>
  <c r="BH19" i="1"/>
  <c r="DJ18" i="1"/>
  <c r="DV18" i="1"/>
  <c r="DG18" i="1"/>
  <c r="DL18" i="1"/>
  <c r="DF18" i="1"/>
  <c r="DR18" i="1"/>
  <c r="DQ18" i="1"/>
  <c r="DT18" i="1"/>
  <c r="DR19" i="1"/>
  <c r="DW18" i="1"/>
  <c r="DS18" i="1"/>
  <c r="DE18" i="1"/>
  <c r="DK18" i="1"/>
  <c r="DP18" i="1"/>
  <c r="DH19" i="1"/>
  <c r="DO18" i="1"/>
  <c r="DH18" i="1"/>
  <c r="DI18" i="1"/>
  <c r="DT19" i="1"/>
  <c r="DG19" i="1"/>
  <c r="DE19" i="1"/>
  <c r="DS19" i="1"/>
  <c r="DU19" i="1"/>
  <c r="DJ19" i="1"/>
  <c r="DF19" i="1"/>
  <c r="DQ19" i="1"/>
  <c r="DV19" i="1"/>
  <c r="DI19" i="1"/>
  <c r="DL19" i="1"/>
  <c r="DK19" i="1"/>
  <c r="DO19" i="1"/>
  <c r="DM19" i="1"/>
  <c r="DP19" i="1"/>
  <c r="DN19" i="1"/>
  <c r="DW19" i="1"/>
  <c r="AY9" i="1"/>
  <c r="DO9" i="1"/>
  <c r="DL9" i="1"/>
  <c r="DT17" i="1"/>
  <c r="AT21" i="1"/>
  <c r="AX9" i="1"/>
  <c r="BC20" i="1"/>
  <c r="AW17" i="1"/>
  <c r="BA9" i="1"/>
  <c r="BH15" i="1"/>
  <c r="BF16" i="1"/>
  <c r="BF11" i="1"/>
  <c r="BC11" i="1"/>
  <c r="BH9" i="1"/>
  <c r="AR17" i="1"/>
  <c r="AY17" i="1"/>
  <c r="AW9" i="1"/>
  <c r="BI20" i="1"/>
  <c r="DI7" i="1"/>
  <c r="AT15" i="1"/>
  <c r="BD12" i="1"/>
  <c r="BI9" i="1"/>
  <c r="DG11" i="1"/>
  <c r="DU21" i="1"/>
  <c r="BD15" i="1"/>
  <c r="DJ13" i="1"/>
  <c r="DU15" i="1"/>
  <c r="BD21" i="1"/>
  <c r="BD10" i="1"/>
  <c r="AY11" i="1"/>
  <c r="BC16" i="1"/>
  <c r="DL15" i="1"/>
  <c r="DQ10" i="1"/>
  <c r="DO7" i="1"/>
  <c r="DI20" i="1"/>
  <c r="DF21" i="1"/>
  <c r="DI14" i="1"/>
  <c r="DU12" i="1"/>
  <c r="DL21" i="1"/>
  <c r="DV21" i="1"/>
  <c r="DF15" i="1"/>
  <c r="DF8" i="1"/>
  <c r="DM12" i="1"/>
  <c r="DF17" i="1"/>
  <c r="DP9" i="1"/>
  <c r="DT13" i="1"/>
  <c r="DO21" i="1"/>
  <c r="DU11" i="1"/>
  <c r="DV15" i="1"/>
  <c r="DS21" i="1"/>
  <c r="DN7" i="1"/>
  <c r="DF16" i="1"/>
  <c r="DO15" i="1"/>
  <c r="DM10" i="1"/>
  <c r="DP10" i="1"/>
  <c r="DK7" i="1"/>
  <c r="DF20" i="1"/>
  <c r="DR8" i="1"/>
  <c r="DV17" i="1"/>
  <c r="DG20" i="1"/>
  <c r="DT20" i="1"/>
  <c r="DE7" i="1"/>
  <c r="DR13" i="1"/>
  <c r="DU7" i="1"/>
  <c r="DP21" i="1"/>
  <c r="DH20" i="1"/>
  <c r="DE8" i="1"/>
  <c r="DS9" i="1"/>
  <c r="DV12" i="1"/>
  <c r="DH13" i="1"/>
  <c r="DW16" i="1"/>
  <c r="DK9" i="1"/>
  <c r="DT11" i="1"/>
  <c r="DP13" i="1"/>
  <c r="DO16" i="1"/>
  <c r="DW15" i="1"/>
  <c r="DG8" i="1"/>
  <c r="DL8" i="1"/>
  <c r="DE21" i="1"/>
  <c r="DJ20" i="1"/>
  <c r="DW11" i="1"/>
  <c r="DH17" i="1"/>
  <c r="DP14" i="1"/>
  <c r="DQ15" i="1"/>
  <c r="DT12" i="1"/>
  <c r="DV20" i="1"/>
  <c r="DR16" i="1"/>
  <c r="DK8" i="1"/>
  <c r="DN9" i="1"/>
  <c r="DO14" i="1"/>
  <c r="DW7" i="1"/>
  <c r="DF10" i="1"/>
  <c r="DV7" i="1"/>
  <c r="DM13" i="1"/>
  <c r="DF13" i="1"/>
  <c r="DT16" i="1"/>
  <c r="DU10" i="1"/>
  <c r="DR10" i="1"/>
  <c r="DW12" i="1"/>
  <c r="DI10" i="1"/>
  <c r="DL16" i="1"/>
  <c r="DJ11" i="1"/>
  <c r="DO12" i="1"/>
  <c r="DU16" i="1"/>
  <c r="DE12" i="1"/>
  <c r="DP17" i="1"/>
  <c r="DH10" i="1"/>
  <c r="DV10" i="1"/>
  <c r="DJ7" i="1"/>
  <c r="DF9" i="1"/>
  <c r="DN11" i="1"/>
  <c r="DI9" i="1"/>
  <c r="DI16" i="1"/>
  <c r="DS7" i="1"/>
  <c r="DE14" i="1"/>
  <c r="DQ20" i="1"/>
  <c r="DW10" i="1"/>
  <c r="DP11" i="1"/>
  <c r="DI21" i="1"/>
  <c r="DJ8" i="1"/>
  <c r="DU8" i="1"/>
  <c r="DH7" i="1"/>
  <c r="DO17" i="1"/>
  <c r="DR14" i="1"/>
  <c r="DE9" i="1"/>
  <c r="DN13" i="1"/>
  <c r="DQ7" i="1"/>
  <c r="DG17" i="1"/>
  <c r="DJ15" i="1"/>
  <c r="DT7" i="1"/>
  <c r="DT21" i="1"/>
  <c r="DH8" i="1"/>
  <c r="DL11" i="1"/>
  <c r="DH14" i="1"/>
  <c r="DG16" i="1"/>
  <c r="DV13" i="1"/>
  <c r="DQ16" i="1"/>
  <c r="DJ16" i="1"/>
  <c r="DS8" i="1"/>
  <c r="DQ17" i="1"/>
  <c r="DO20" i="1"/>
  <c r="DQ12" i="1"/>
  <c r="DS16" i="1"/>
  <c r="DT10" i="1"/>
  <c r="DN14" i="1"/>
  <c r="DM8" i="1"/>
  <c r="DU13" i="1"/>
  <c r="DG14" i="1"/>
  <c r="DO10" i="1"/>
  <c r="DM14" i="1"/>
  <c r="DJ14" i="1"/>
  <c r="DH21" i="1"/>
  <c r="DW13" i="1"/>
  <c r="DR20" i="1"/>
  <c r="DQ8" i="1"/>
  <c r="DW17" i="1"/>
  <c r="DV14" i="1"/>
  <c r="DO13" i="1"/>
  <c r="DI8" i="1"/>
  <c r="DF14" i="1"/>
  <c r="DP8" i="1"/>
  <c r="DR11" i="1"/>
  <c r="DG12" i="1"/>
  <c r="DG10" i="1"/>
  <c r="DK12" i="1"/>
  <c r="DN10" i="1"/>
  <c r="DJ10" i="1"/>
  <c r="DW14" i="1"/>
  <c r="DJ21" i="1"/>
  <c r="DS10" i="1"/>
  <c r="DK14" i="1"/>
  <c r="DS13" i="1"/>
  <c r="DP15" i="1"/>
  <c r="DV8" i="1"/>
  <c r="DF7" i="1"/>
  <c r="DM16" i="1"/>
  <c r="DQ9" i="1"/>
  <c r="DL10" i="1"/>
  <c r="DM20" i="1"/>
  <c r="DE17" i="1"/>
  <c r="DE16" i="1"/>
  <c r="DW8" i="1"/>
  <c r="DT8" i="1"/>
  <c r="DU20" i="1"/>
  <c r="DM15" i="1"/>
  <c r="DT9" i="1"/>
  <c r="DS15" i="1"/>
  <c r="DU9" i="1"/>
  <c r="DG7" i="1"/>
  <c r="DG21" i="1"/>
  <c r="DM11" i="1"/>
  <c r="DP7" i="1"/>
  <c r="DM21" i="1"/>
  <c r="DV16" i="1"/>
  <c r="DH9" i="1"/>
  <c r="DI15" i="1"/>
  <c r="DO8" i="1"/>
  <c r="DE10" i="1"/>
  <c r="DK17" i="1"/>
  <c r="DS14" i="1"/>
  <c r="DL13" i="1"/>
  <c r="DN16" i="1"/>
  <c r="DW20" i="1"/>
  <c r="DN20" i="1"/>
  <c r="DP20" i="1"/>
  <c r="DK13" i="1"/>
  <c r="DK20" i="1"/>
  <c r="DK10" i="1"/>
  <c r="DS20" i="1"/>
  <c r="DH16" i="1"/>
  <c r="DG13" i="1"/>
  <c r="DE15" i="1"/>
  <c r="DG15" i="1"/>
  <c r="DL12" i="1"/>
  <c r="DL7" i="1"/>
  <c r="DF12" i="1"/>
  <c r="DE20" i="1"/>
  <c r="DK15" i="1"/>
  <c r="DR15" i="1"/>
  <c r="DR21" i="1"/>
  <c r="DE11" i="1"/>
  <c r="DE13" i="1"/>
  <c r="DQ14" i="1"/>
  <c r="DM9" i="1"/>
  <c r="DK21" i="1"/>
  <c r="DS11" i="1"/>
  <c r="DT14" i="1"/>
  <c r="DG9" i="1"/>
  <c r="DH15" i="1"/>
  <c r="DR7" i="1"/>
  <c r="DM7" i="1"/>
  <c r="DI17" i="1"/>
  <c r="DN21" i="1"/>
  <c r="DN8" i="1"/>
  <c r="DK16" i="1"/>
  <c r="DL14" i="1"/>
  <c r="DU14" i="1"/>
  <c r="DW21" i="1"/>
  <c r="DL20" i="1"/>
  <c r="DP16" i="1"/>
  <c r="DI13" i="1"/>
  <c r="DF11" i="1"/>
  <c r="DV9" i="1"/>
  <c r="DQ21" i="1"/>
  <c r="DJ17" i="1"/>
  <c r="DT15" i="1"/>
  <c r="DQ13" i="1"/>
  <c r="DN15" i="1"/>
  <c r="DH11" i="1"/>
  <c r="BI17" i="1"/>
  <c r="DW9" i="1"/>
  <c r="AR14" i="1"/>
  <c r="AV14" i="1"/>
  <c r="AU20" i="1"/>
  <c r="BB9" i="1"/>
  <c r="BA8" i="1"/>
  <c r="AR21" i="1"/>
  <c r="BJ21" i="1"/>
  <c r="DJ12" i="1"/>
  <c r="DL17" i="1"/>
  <c r="BI13" i="1"/>
  <c r="BA15" i="1"/>
  <c r="BA12" i="1"/>
  <c r="BD7" i="1"/>
  <c r="BE9" i="1"/>
  <c r="AV15" i="1"/>
  <c r="DR12" i="1"/>
  <c r="AV12" i="1"/>
  <c r="DN12" i="1"/>
  <c r="DS12" i="1"/>
  <c r="AW12" i="1"/>
  <c r="BG17" i="1"/>
  <c r="AU17" i="1"/>
  <c r="BE17" i="1"/>
  <c r="BB17" i="1"/>
  <c r="AX12" i="1"/>
  <c r="AX16" i="1"/>
  <c r="BF20" i="1"/>
  <c r="BC15" i="1"/>
  <c r="AV10" i="1"/>
  <c r="BH17" i="1"/>
  <c r="AS12" i="1"/>
  <c r="AY20" i="1"/>
  <c r="BC17" i="1"/>
  <c r="BF9" i="1"/>
  <c r="DP12" i="1"/>
  <c r="BG9" i="1"/>
  <c r="AY15" i="1"/>
  <c r="BF7" i="1"/>
  <c r="BA14" i="1"/>
  <c r="BC7" i="1"/>
  <c r="AR15" i="1"/>
  <c r="BF14" i="1"/>
  <c r="BI11" i="1"/>
  <c r="AS11" i="1"/>
  <c r="DI11" i="1"/>
  <c r="DK11" i="1"/>
  <c r="BH20" i="1"/>
  <c r="AY12" i="1"/>
  <c r="DJ9" i="1"/>
  <c r="AR12" i="1"/>
  <c r="BJ12" i="1"/>
  <c r="AS13" i="1"/>
  <c r="BA16" i="1"/>
  <c r="BE10" i="1"/>
  <c r="AZ7" i="1"/>
  <c r="BJ17" i="1"/>
  <c r="AU14" i="1"/>
  <c r="BG11" i="1"/>
  <c r="DO11" i="1"/>
  <c r="DQ11" i="1"/>
  <c r="BD17" i="1"/>
  <c r="AY10" i="1"/>
  <c r="AY13" i="1"/>
  <c r="AW13" i="1"/>
  <c r="BG8" i="1"/>
  <c r="BG10" i="1"/>
  <c r="BE13" i="1"/>
  <c r="AS10" i="1"/>
  <c r="BH12" i="1"/>
  <c r="AS16" i="1"/>
  <c r="AZ17" i="1"/>
  <c r="BG20" i="1"/>
  <c r="BJ8" i="1"/>
  <c r="AU11" i="1"/>
  <c r="BB12" i="1"/>
  <c r="BC21" i="1"/>
  <c r="BA13" i="1"/>
  <c r="BJ16" i="1"/>
  <c r="AX20" i="1"/>
  <c r="BE14" i="1"/>
  <c r="AZ16" i="1"/>
  <c r="BC10" i="1"/>
  <c r="BJ11" i="1"/>
  <c r="AT9" i="1"/>
  <c r="BG7" i="1"/>
  <c r="BF15" i="1"/>
  <c r="AS15" i="1"/>
  <c r="AU15" i="1"/>
  <c r="AW15" i="1"/>
  <c r="BD16" i="1"/>
  <c r="AR13" i="1"/>
  <c r="AX21" i="1"/>
  <c r="BE15" i="1"/>
  <c r="AS17" i="1"/>
  <c r="AZ13" i="1"/>
  <c r="BJ7" i="1"/>
  <c r="AZ21" i="1"/>
  <c r="BH7" i="1"/>
  <c r="AZ10" i="1"/>
  <c r="AT20" i="1"/>
  <c r="AU13" i="1"/>
  <c r="BB14" i="1"/>
  <c r="BI10" i="1"/>
  <c r="AY8" i="1"/>
  <c r="BE7" i="1"/>
  <c r="BD14" i="1"/>
  <c r="BF8" i="1"/>
  <c r="AS20" i="1"/>
  <c r="AT13" i="1"/>
  <c r="BJ13" i="1"/>
  <c r="AX15" i="1"/>
  <c r="AX13" i="1"/>
  <c r="AR8" i="1"/>
  <c r="BF13" i="1"/>
  <c r="BB20" i="1"/>
  <c r="BD20" i="1"/>
  <c r="AS7" i="1"/>
  <c r="AY16" i="1"/>
  <c r="BJ20" i="1"/>
  <c r="AS21" i="1"/>
  <c r="BA7" i="1"/>
  <c r="BG16" i="1"/>
  <c r="BB8" i="1"/>
  <c r="BF10" i="1"/>
  <c r="BA10" i="1"/>
  <c r="AV20" i="1"/>
  <c r="BB16" i="1"/>
  <c r="AW14" i="1"/>
  <c r="BD9" i="1"/>
  <c r="AU10" i="1"/>
  <c r="BB11" i="1"/>
  <c r="BE8" i="1"/>
  <c r="AX7" i="1"/>
  <c r="AT10" i="1"/>
  <c r="AX17" i="1"/>
  <c r="BE20" i="1"/>
  <c r="BE16" i="1"/>
  <c r="BI7" i="1"/>
  <c r="BG14" i="1"/>
  <c r="BE21" i="1"/>
  <c r="AR9" i="1"/>
  <c r="BI15" i="1"/>
  <c r="BF21" i="1"/>
  <c r="AS8" i="1"/>
  <c r="AW10" i="1"/>
  <c r="AR20" i="1"/>
  <c r="AV7" i="1"/>
  <c r="BF12" i="1"/>
  <c r="AT14" i="1"/>
  <c r="BH13" i="1"/>
  <c r="AV16" i="1"/>
  <c r="AZ8" i="1"/>
  <c r="AY7" i="1"/>
  <c r="AX8" i="1"/>
  <c r="BB13" i="1"/>
  <c r="BI14" i="1"/>
  <c r="BI12" i="1"/>
  <c r="AZ11" i="1"/>
  <c r="BH16" i="1"/>
  <c r="BE11" i="1"/>
  <c r="AT7" i="1"/>
  <c r="BC8" i="1"/>
  <c r="BH11" i="1"/>
  <c r="AV13" i="1"/>
  <c r="AV11" i="1"/>
  <c r="AV9" i="1"/>
  <c r="BD13" i="1"/>
  <c r="BD11" i="1"/>
  <c r="AS9" i="1"/>
  <c r="AT16" i="1"/>
  <c r="BA17" i="1"/>
  <c r="AV17" i="1"/>
  <c r="BH8" i="1"/>
  <c r="AT11" i="1"/>
  <c r="AW8" i="1"/>
  <c r="BG21" i="1"/>
  <c r="BI16" i="1"/>
  <c r="AW20" i="1"/>
  <c r="AW16" i="1"/>
  <c r="BJ9" i="1"/>
  <c r="BA11" i="1"/>
  <c r="BB10" i="1"/>
  <c r="BJ15" i="1"/>
  <c r="AU7" i="1"/>
  <c r="BD8" i="1"/>
  <c r="AU9" i="1"/>
  <c r="AU16" i="1"/>
  <c r="AT8" i="1"/>
  <c r="AX10" i="1"/>
  <c r="BC9" i="1"/>
  <c r="BH14" i="1"/>
  <c r="BE12" i="1"/>
  <c r="AS14" i="1"/>
  <c r="AZ15" i="1"/>
  <c r="AW11" i="1"/>
  <c r="BH21" i="1"/>
  <c r="AT12" i="1"/>
  <c r="AV21" i="1"/>
  <c r="BG12" i="1"/>
  <c r="BI8" i="1"/>
  <c r="BC13" i="1"/>
  <c r="BJ14" i="1"/>
  <c r="AX11" i="1"/>
  <c r="BC12" i="1"/>
  <c r="AY21" i="1"/>
  <c r="BI21" i="1"/>
  <c r="AW21" i="1"/>
  <c r="AR10" i="1"/>
  <c r="BA20" i="1"/>
  <c r="BB21" i="1"/>
  <c r="AR16" i="1"/>
  <c r="AW7" i="1"/>
  <c r="BA21" i="1"/>
  <c r="BC14" i="1"/>
  <c r="AV8" i="1"/>
  <c r="BG13" i="1"/>
  <c r="AZ12" i="1"/>
  <c r="DH12" i="1"/>
  <c r="DS17" i="1"/>
  <c r="BF17" i="1"/>
  <c r="BG15" i="1"/>
  <c r="AZ14" i="1"/>
  <c r="AX14" i="1"/>
  <c r="AZ9" i="1"/>
  <c r="AR11" i="1"/>
  <c r="DV11" i="1"/>
  <c r="AU21" i="1"/>
  <c r="AU12" i="1"/>
  <c r="DR9" i="1"/>
  <c r="AZ20" i="1"/>
  <c r="DM17" i="1"/>
  <c r="DR17" i="1"/>
  <c r="BB7" i="1"/>
  <c r="BJ10" i="1"/>
  <c r="DI12" i="1"/>
  <c r="DU17" i="1"/>
  <c r="AR7" i="1"/>
  <c r="AY14" i="1"/>
  <c r="AT17" i="1"/>
  <c r="BH10" i="1"/>
  <c r="DN17" i="1"/>
  <c r="AU8" i="1"/>
  <c r="BB15" i="1"/>
  <c r="AO10" i="14" l="1"/>
  <c r="AU10" i="14" s="1"/>
  <c r="AO23" i="14"/>
  <c r="AO11" i="14"/>
  <c r="AQ11" i="14" s="1"/>
  <c r="AO20" i="14"/>
  <c r="AQ20" i="14" s="1"/>
  <c r="AO21" i="14"/>
  <c r="AU21" i="14" s="1"/>
  <c r="AO12" i="14"/>
  <c r="AQ12" i="14" s="1"/>
  <c r="AQ24" i="14"/>
  <c r="AT24" i="14"/>
  <c r="AU24" i="14"/>
  <c r="AV24" i="14"/>
  <c r="AN24" i="14"/>
  <c r="AQ8" i="14"/>
  <c r="AU22" i="14"/>
  <c r="AQ22" i="14"/>
  <c r="AT15" i="14"/>
  <c r="AV15" i="14"/>
  <c r="AT17" i="14"/>
  <c r="AV17" i="14"/>
  <c r="AT16" i="14"/>
  <c r="AV16" i="14"/>
  <c r="AT14" i="14"/>
  <c r="AV14" i="14"/>
  <c r="AT19" i="14"/>
  <c r="AV19" i="14"/>
  <c r="AV18" i="14"/>
  <c r="AT18" i="14"/>
  <c r="AU17" i="14"/>
  <c r="AU13" i="14"/>
  <c r="AQ15" i="14"/>
  <c r="AQ18" i="14"/>
  <c r="AQ16" i="14"/>
  <c r="AU18" i="14"/>
  <c r="AU16" i="14"/>
  <c r="AU15" i="14"/>
  <c r="AQ17" i="14"/>
  <c r="AQ13" i="14"/>
  <c r="AQ14" i="14"/>
  <c r="AU14" i="14"/>
  <c r="AU9" i="14"/>
  <c r="AU7" i="14"/>
  <c r="AU19" i="14"/>
  <c r="AQ19" i="14"/>
  <c r="AQ9" i="14"/>
  <c r="AQ7" i="14"/>
  <c r="Z15" i="14"/>
  <c r="AA15" i="14" s="1"/>
  <c r="Y16" i="14"/>
  <c r="Z16" i="14" s="1"/>
  <c r="W17" i="14"/>
  <c r="X17" i="14" s="1"/>
  <c r="EN19" i="1"/>
  <c r="EA19" i="1"/>
  <c r="EJ18" i="1"/>
  <c r="BY19" i="1"/>
  <c r="EF18" i="1"/>
  <c r="BQ19" i="1"/>
  <c r="BS18" i="1"/>
  <c r="BL18" i="1"/>
  <c r="ED19" i="1"/>
  <c r="EL19" i="1"/>
  <c r="EI18" i="1"/>
  <c r="EK18" i="1"/>
  <c r="CC19" i="1"/>
  <c r="BM19" i="1"/>
  <c r="BS19" i="1"/>
  <c r="BP18" i="1"/>
  <c r="CC18" i="1"/>
  <c r="EH19" i="1"/>
  <c r="EE19" i="1"/>
  <c r="DX19" i="1"/>
  <c r="ED18" i="1"/>
  <c r="DY18" i="1"/>
  <c r="BL19" i="1"/>
  <c r="CB19" i="1"/>
  <c r="BZ19" i="1"/>
  <c r="BO18" i="1"/>
  <c r="BT18" i="1"/>
  <c r="EB19" i="1"/>
  <c r="DZ19" i="1"/>
  <c r="DX18" i="1"/>
  <c r="EE18" i="1"/>
  <c r="BX19" i="1"/>
  <c r="BN19" i="1"/>
  <c r="BN18" i="1"/>
  <c r="CA18" i="1"/>
  <c r="BR18" i="1"/>
  <c r="EP19" i="1"/>
  <c r="EO19" i="1"/>
  <c r="EM19" i="1"/>
  <c r="EL18" i="1"/>
  <c r="DZ18" i="1"/>
  <c r="EG18" i="1"/>
  <c r="BW19" i="1"/>
  <c r="BX18" i="1"/>
  <c r="CB18" i="1"/>
  <c r="EG19" i="1"/>
  <c r="EJ19" i="1"/>
  <c r="EB18" i="1"/>
  <c r="EP18" i="1"/>
  <c r="EO18" i="1"/>
  <c r="BV19" i="1"/>
  <c r="BO19" i="1"/>
  <c r="BQ18" i="1"/>
  <c r="BW18" i="1"/>
  <c r="BZ18" i="1"/>
  <c r="EI19" i="1"/>
  <c r="DY19" i="1"/>
  <c r="EA18" i="1"/>
  <c r="EK19" i="1"/>
  <c r="EC18" i="1"/>
  <c r="BT19" i="1"/>
  <c r="BR19" i="1"/>
  <c r="EN18" i="1"/>
  <c r="BU18" i="1"/>
  <c r="BY18" i="1"/>
  <c r="EF19" i="1"/>
  <c r="EC19" i="1"/>
  <c r="EH18" i="1"/>
  <c r="EM18" i="1"/>
  <c r="CA19" i="1"/>
  <c r="BP19" i="1"/>
  <c r="BV18" i="1"/>
  <c r="BU19" i="1"/>
  <c r="BM18" i="1"/>
  <c r="BK18" i="1"/>
  <c r="BK19" i="1"/>
  <c r="EN17" i="1"/>
  <c r="EK9" i="1"/>
  <c r="BZ15" i="1"/>
  <c r="BT21" i="1"/>
  <c r="BR21" i="1"/>
  <c r="BM12" i="1"/>
  <c r="BQ10" i="1"/>
  <c r="BT11" i="1"/>
  <c r="CA8" i="1"/>
  <c r="BO11" i="1"/>
  <c r="CB12" i="1"/>
  <c r="BM14" i="1"/>
  <c r="BT10" i="1"/>
  <c r="BM13" i="1"/>
  <c r="BN13" i="1"/>
  <c r="BX15" i="1"/>
  <c r="BZ7" i="1"/>
  <c r="BT13" i="1"/>
  <c r="CA12" i="1"/>
  <c r="BW17" i="1"/>
  <c r="BT16" i="1"/>
  <c r="EB11" i="1"/>
  <c r="BR15" i="1"/>
  <c r="BO10" i="1"/>
  <c r="BZ17" i="1"/>
  <c r="BW7" i="1"/>
  <c r="BT8" i="1"/>
  <c r="EG15" i="1"/>
  <c r="EI16" i="1"/>
  <c r="EB17" i="1"/>
  <c r="EF9" i="1"/>
  <c r="DY12" i="1"/>
  <c r="ED10" i="1"/>
  <c r="EL14" i="1"/>
  <c r="EI7" i="1"/>
  <c r="EN20" i="1"/>
  <c r="EF16" i="1"/>
  <c r="EP14" i="1"/>
  <c r="DY14" i="1"/>
  <c r="EA21" i="1"/>
  <c r="EM10" i="1"/>
  <c r="EO13" i="1"/>
  <c r="DZ17" i="1"/>
  <c r="EC8" i="1"/>
  <c r="EB9" i="1"/>
  <c r="EN16" i="1"/>
  <c r="EM16" i="1"/>
  <c r="ED8" i="1"/>
  <c r="EC20" i="1"/>
  <c r="ED9" i="1"/>
  <c r="EN7" i="1"/>
  <c r="EN11" i="1"/>
  <c r="EO21" i="1"/>
  <c r="EE15" i="1"/>
  <c r="EN21" i="1"/>
  <c r="BR17" i="1"/>
  <c r="BP17" i="1"/>
  <c r="CA21" i="1"/>
  <c r="BO17" i="1"/>
  <c r="BO13" i="1"/>
  <c r="CB14" i="1"/>
  <c r="BY12" i="1"/>
  <c r="BX21" i="1"/>
  <c r="BX8" i="1"/>
  <c r="BY10" i="1"/>
  <c r="BW20" i="1"/>
  <c r="BL20" i="1"/>
  <c r="BM20" i="1"/>
  <c r="BQ21" i="1"/>
  <c r="BM9" i="1"/>
  <c r="BV21" i="1"/>
  <c r="EJ11" i="1"/>
  <c r="BL13" i="1"/>
  <c r="BZ9" i="1"/>
  <c r="BV15" i="1"/>
  <c r="BP12" i="1"/>
  <c r="BT12" i="1"/>
  <c r="BU9" i="1"/>
  <c r="EJ13" i="1"/>
  <c r="EE20" i="1"/>
  <c r="EF7" i="1"/>
  <c r="EJ14" i="1"/>
  <c r="ED20" i="1"/>
  <c r="ED17" i="1"/>
  <c r="EF11" i="1"/>
  <c r="EM8" i="1"/>
  <c r="EC10" i="1"/>
  <c r="EB8" i="1"/>
  <c r="EC14" i="1"/>
  <c r="EL16" i="1"/>
  <c r="DZ16" i="1"/>
  <c r="EJ7" i="1"/>
  <c r="EB21" i="1"/>
  <c r="EG11" i="1"/>
  <c r="EH12" i="1"/>
  <c r="DY13" i="1"/>
  <c r="EK16" i="1"/>
  <c r="DX21" i="1"/>
  <c r="EP16" i="1"/>
  <c r="EK13" i="1"/>
  <c r="EI10" i="1"/>
  <c r="EH21" i="1"/>
  <c r="EE21" i="1"/>
  <c r="BV16" i="1"/>
  <c r="DZ11" i="1"/>
  <c r="BV20" i="1"/>
  <c r="CC9" i="1"/>
  <c r="BU15" i="1"/>
  <c r="EB12" i="1"/>
  <c r="BN21" i="1"/>
  <c r="EL17" i="1"/>
  <c r="BQ11" i="1"/>
  <c r="BP11" i="1"/>
  <c r="BN16" i="1"/>
  <c r="BP16" i="1"/>
  <c r="BT17" i="1"/>
  <c r="CA11" i="1"/>
  <c r="BU13" i="1"/>
  <c r="BZ14" i="1"/>
  <c r="BU11" i="1"/>
  <c r="BU8" i="1"/>
  <c r="BU20" i="1"/>
  <c r="BY8" i="1"/>
  <c r="BS10" i="1"/>
  <c r="CC11" i="1"/>
  <c r="BU12" i="1"/>
  <c r="BX13" i="1"/>
  <c r="EH11" i="1"/>
  <c r="CC12" i="1"/>
  <c r="CB11" i="1"/>
  <c r="EI12" i="1"/>
  <c r="BY20" i="1"/>
  <c r="EL12" i="1"/>
  <c r="BT15" i="1"/>
  <c r="BN20" i="1"/>
  <c r="EM15" i="1"/>
  <c r="EP21" i="1"/>
  <c r="EK7" i="1"/>
  <c r="EE12" i="1"/>
  <c r="ED13" i="1"/>
  <c r="DZ21" i="1"/>
  <c r="EP8" i="1"/>
  <c r="EO8" i="1"/>
  <c r="EG10" i="1"/>
  <c r="EH13" i="1"/>
  <c r="EF14" i="1"/>
  <c r="EJ12" i="1"/>
  <c r="EA14" i="1"/>
  <c r="EG13" i="1"/>
  <c r="EI11" i="1"/>
  <c r="EC11" i="1"/>
  <c r="EF13" i="1"/>
  <c r="EO20" i="1"/>
  <c r="EE8" i="1"/>
  <c r="EA13" i="1"/>
  <c r="EF10" i="1"/>
  <c r="EM13" i="1"/>
  <c r="EN12" i="1"/>
  <c r="BR11" i="1"/>
  <c r="CB9" i="1"/>
  <c r="CA9" i="1"/>
  <c r="BQ9" i="1"/>
  <c r="BY17" i="1"/>
  <c r="EA12" i="1"/>
  <c r="CC14" i="1"/>
  <c r="BN9" i="1"/>
  <c r="BM16" i="1"/>
  <c r="BV8" i="1"/>
  <c r="BQ8" i="1"/>
  <c r="BK20" i="1"/>
  <c r="CB7" i="1"/>
  <c r="BN10" i="1"/>
  <c r="BZ16" i="1"/>
  <c r="BY13" i="1"/>
  <c r="BW14" i="1"/>
  <c r="CA7" i="1"/>
  <c r="BW16" i="1"/>
  <c r="BV10" i="1"/>
  <c r="BN11" i="1"/>
  <c r="BZ10" i="1"/>
  <c r="BZ11" i="1"/>
  <c r="BY14" i="1"/>
  <c r="BY9" i="1"/>
  <c r="BQ16" i="1"/>
  <c r="EG12" i="1"/>
  <c r="CB13" i="1"/>
  <c r="BO14" i="1"/>
  <c r="EC17" i="1"/>
  <c r="EN14" i="1"/>
  <c r="EA15" i="1"/>
  <c r="DZ15" i="1"/>
  <c r="EI20" i="1"/>
  <c r="EH8" i="1"/>
  <c r="EI15" i="1"/>
  <c r="ED12" i="1"/>
  <c r="EO14" i="1"/>
  <c r="EH10" i="1"/>
  <c r="EH20" i="1"/>
  <c r="EE11" i="1"/>
  <c r="EP10" i="1"/>
  <c r="EE16" i="1"/>
  <c r="EO7" i="1"/>
  <c r="EM12" i="1"/>
  <c r="EO12" i="1"/>
  <c r="EM20" i="1"/>
  <c r="EH15" i="1"/>
  <c r="EI9" i="1"/>
  <c r="EB14" i="1"/>
  <c r="BW10" i="1"/>
  <c r="BW12" i="1"/>
  <c r="BV11" i="1"/>
  <c r="BM21" i="1"/>
  <c r="EO11" i="1"/>
  <c r="BU21" i="1"/>
  <c r="BS15" i="1"/>
  <c r="BP20" i="1"/>
  <c r="EG17" i="1"/>
  <c r="BU7" i="1"/>
  <c r="BS12" i="1"/>
  <c r="BT20" i="1"/>
  <c r="BV13" i="1"/>
  <c r="BL14" i="1"/>
  <c r="BW8" i="1"/>
  <c r="CB16" i="1"/>
  <c r="BR7" i="1"/>
  <c r="BP10" i="1"/>
  <c r="BX16" i="1"/>
  <c r="BW9" i="1"/>
  <c r="BT7" i="1"/>
  <c r="BX7" i="1"/>
  <c r="BS21" i="1"/>
  <c r="BP15" i="1"/>
  <c r="BS16" i="1"/>
  <c r="CC8" i="1"/>
  <c r="BZ8" i="1"/>
  <c r="BN14" i="1"/>
  <c r="EC9" i="1"/>
  <c r="BV17" i="1"/>
  <c r="BQ12" i="1"/>
  <c r="BO12" i="1"/>
  <c r="EE17" i="1"/>
  <c r="EJ21" i="1"/>
  <c r="EE14" i="1"/>
  <c r="DZ9" i="1"/>
  <c r="EK21" i="1"/>
  <c r="EG20" i="1"/>
  <c r="EB15" i="1"/>
  <c r="EN9" i="1"/>
  <c r="EL13" i="1"/>
  <c r="DZ10" i="1"/>
  <c r="EP17" i="1"/>
  <c r="DZ14" i="1"/>
  <c r="EJ17" i="1"/>
  <c r="EK14" i="1"/>
  <c r="EJ20" i="1"/>
  <c r="EO10" i="1"/>
  <c r="EB10" i="1"/>
  <c r="EJ15" i="1"/>
  <c r="EP15" i="1"/>
  <c r="EL9" i="1"/>
  <c r="DZ20" i="1"/>
  <c r="DY17" i="1"/>
  <c r="DY21" i="1"/>
  <c r="BW21" i="1"/>
  <c r="BM15" i="1"/>
  <c r="BY11" i="1"/>
  <c r="EM17" i="1"/>
  <c r="CB8" i="1"/>
  <c r="BX12" i="1"/>
  <c r="BZ21" i="1"/>
  <c r="BW11" i="1"/>
  <c r="BX11" i="1"/>
  <c r="BS8" i="1"/>
  <c r="BX20" i="1"/>
  <c r="BP14" i="1"/>
  <c r="BL21" i="1"/>
  <c r="BQ13" i="1"/>
  <c r="BR8" i="1"/>
  <c r="CC7" i="1"/>
  <c r="BN15" i="1"/>
  <c r="BX14" i="1"/>
  <c r="BZ20" i="1"/>
  <c r="BP13" i="1"/>
  <c r="CC17" i="1"/>
  <c r="BR12" i="1"/>
  <c r="BV7" i="1"/>
  <c r="BR20" i="1"/>
  <c r="BU17" i="1"/>
  <c r="EK12" i="1"/>
  <c r="EC12" i="1"/>
  <c r="EP9" i="1"/>
  <c r="EO9" i="1"/>
  <c r="ED16" i="1"/>
  <c r="EM14" i="1"/>
  <c r="EK15" i="1"/>
  <c r="DZ13" i="1"/>
  <c r="EP20" i="1"/>
  <c r="EA9" i="1"/>
  <c r="EL15" i="1"/>
  <c r="EF20" i="1"/>
  <c r="ED14" i="1"/>
  <c r="DZ12" i="1"/>
  <c r="EJ8" i="1"/>
  <c r="EN13" i="1"/>
  <c r="EL8" i="1"/>
  <c r="EM21" i="1"/>
  <c r="EH17" i="1"/>
  <c r="EA10" i="1"/>
  <c r="EP12" i="1"/>
  <c r="EP7" i="1"/>
  <c r="EI14" i="1"/>
  <c r="EH16" i="1"/>
  <c r="EO17" i="1"/>
  <c r="EG7" i="1"/>
  <c r="EF12" i="1"/>
  <c r="EB20" i="1"/>
  <c r="EN15" i="1"/>
  <c r="BY16" i="1"/>
  <c r="EE9" i="1"/>
  <c r="BV12" i="1"/>
  <c r="CC10" i="1"/>
  <c r="EK17" i="1"/>
  <c r="BZ13" i="1"/>
  <c r="BM17" i="1"/>
  <c r="EF17" i="1"/>
  <c r="BQ14" i="1"/>
  <c r="BO8" i="1"/>
  <c r="BP21" i="1"/>
  <c r="BZ12" i="1"/>
  <c r="CA14" i="1"/>
  <c r="CC15" i="1"/>
  <c r="BP8" i="1"/>
  <c r="BW13" i="1"/>
  <c r="CA16" i="1"/>
  <c r="BO16" i="1"/>
  <c r="BY21" i="1"/>
  <c r="BQ17" i="1"/>
  <c r="BU16" i="1"/>
  <c r="CC20" i="1"/>
  <c r="BQ15" i="1"/>
  <c r="CB10" i="1"/>
  <c r="BS13" i="1"/>
  <c r="BL15" i="1"/>
  <c r="BQ20" i="1"/>
  <c r="BS17" i="1"/>
  <c r="BR13" i="1"/>
  <c r="BS7" i="1"/>
  <c r="CA20" i="1"/>
  <c r="BT14" i="1"/>
  <c r="BL12" i="1"/>
  <c r="BX17" i="1"/>
  <c r="BO15" i="1"/>
  <c r="CC21" i="1"/>
  <c r="CB17" i="1"/>
  <c r="EG8" i="1"/>
  <c r="EL11" i="1"/>
  <c r="ED15" i="1"/>
  <c r="EA16" i="1"/>
  <c r="EG16" i="1"/>
  <c r="EO16" i="1"/>
  <c r="EM9" i="1"/>
  <c r="EE10" i="1"/>
  <c r="EL10" i="1"/>
  <c r="EK11" i="1"/>
  <c r="EK20" i="1"/>
  <c r="EF8" i="1"/>
  <c r="EC16" i="1"/>
  <c r="EM7" i="1"/>
  <c r="EL7" i="1"/>
  <c r="EI17" i="1"/>
  <c r="EK10" i="1"/>
  <c r="EH14" i="1"/>
  <c r="EA17" i="1"/>
  <c r="EI13" i="1"/>
  <c r="EA20" i="1"/>
  <c r="EK8" i="1"/>
  <c r="EL21" i="1"/>
  <c r="EH7" i="1"/>
  <c r="EC13" i="1"/>
  <c r="CB20" i="1"/>
  <c r="CA15" i="1"/>
  <c r="EH9" i="1"/>
  <c r="BN12" i="1"/>
  <c r="CA10" i="1"/>
  <c r="BS9" i="1"/>
  <c r="BR14" i="1"/>
  <c r="BS20" i="1"/>
  <c r="BS14" i="1"/>
  <c r="BV14" i="1"/>
  <c r="CB21" i="1"/>
  <c r="BO21" i="1"/>
  <c r="BV9" i="1"/>
  <c r="BU10" i="1"/>
  <c r="BM11" i="1"/>
  <c r="BO9" i="1"/>
  <c r="BS11" i="1"/>
  <c r="CA13" i="1"/>
  <c r="CB15" i="1"/>
  <c r="BM10" i="1"/>
  <c r="BO20" i="1"/>
  <c r="BR16" i="1"/>
  <c r="CC13" i="1"/>
  <c r="BU14" i="1"/>
  <c r="BL17" i="1"/>
  <c r="BY15" i="1"/>
  <c r="CC16" i="1"/>
  <c r="BR10" i="1"/>
  <c r="BX10" i="1"/>
  <c r="ED11" i="1"/>
  <c r="BY7" i="1"/>
  <c r="CA17" i="1"/>
  <c r="BN17" i="1"/>
  <c r="BX9" i="1"/>
  <c r="BK21" i="1"/>
  <c r="EA11" i="1"/>
  <c r="EB13" i="1"/>
  <c r="EG21" i="1"/>
  <c r="ED21" i="1"/>
  <c r="DX20" i="1"/>
  <c r="EL20" i="1"/>
  <c r="EE13" i="1"/>
  <c r="EF21" i="1"/>
  <c r="EF15" i="1"/>
  <c r="EJ9" i="1"/>
  <c r="EC21" i="1"/>
  <c r="EI8" i="1"/>
  <c r="EP13" i="1"/>
  <c r="EG14" i="1"/>
  <c r="EJ16" i="1"/>
  <c r="EC15" i="1"/>
  <c r="EN8" i="1"/>
  <c r="EB16" i="1"/>
  <c r="EN10" i="1"/>
  <c r="EG9" i="1"/>
  <c r="EP11" i="1"/>
  <c r="EM11" i="1"/>
  <c r="EI21" i="1"/>
  <c r="DY20" i="1"/>
  <c r="EO15" i="1"/>
  <c r="DY15" i="1"/>
  <c r="EJ10" i="1"/>
  <c r="BW15" i="1"/>
  <c r="BP9" i="1"/>
  <c r="BT9" i="1"/>
  <c r="BR9" i="1"/>
  <c r="BK17" i="1"/>
  <c r="DX17" i="1"/>
  <c r="DX15" i="1"/>
  <c r="DY10" i="1"/>
  <c r="DY11" i="1"/>
  <c r="DY9" i="1"/>
  <c r="EE7" i="1"/>
  <c r="BQ7" i="1"/>
  <c r="BN8" i="1"/>
  <c r="BL10" i="1"/>
  <c r="EA8" i="1"/>
  <c r="ED7" i="1"/>
  <c r="BP7" i="1"/>
  <c r="BL11" i="1"/>
  <c r="DX7" i="1"/>
  <c r="BK12" i="1"/>
  <c r="BL9" i="1"/>
  <c r="BK11" i="1"/>
  <c r="BK7" i="1"/>
  <c r="BL8" i="1"/>
  <c r="DX13" i="1"/>
  <c r="BM8" i="1"/>
  <c r="DX12" i="1"/>
  <c r="BK10" i="1"/>
  <c r="BK14" i="1"/>
  <c r="EA7" i="1"/>
  <c r="BK9" i="1"/>
  <c r="BK8" i="1"/>
  <c r="BK15" i="1"/>
  <c r="DY16" i="1"/>
  <c r="DX9" i="1"/>
  <c r="BM7" i="1"/>
  <c r="BL16" i="1"/>
  <c r="EC7" i="1"/>
  <c r="DX11" i="1"/>
  <c r="DX8" i="1"/>
  <c r="DY8" i="1"/>
  <c r="DZ7" i="1"/>
  <c r="BL7" i="1"/>
  <c r="DX14" i="1"/>
  <c r="DY7" i="1"/>
  <c r="BK16" i="1"/>
  <c r="BO7" i="1"/>
  <c r="BK13" i="1"/>
  <c r="DX10" i="1"/>
  <c r="EB7" i="1"/>
  <c r="BN7" i="1"/>
  <c r="DX16" i="1"/>
  <c r="DZ8" i="1"/>
  <c r="AQ10" i="14" l="1"/>
  <c r="AU11" i="14"/>
  <c r="AU20" i="14"/>
  <c r="AU12" i="14"/>
  <c r="AW17" i="14"/>
  <c r="AW18" i="14"/>
  <c r="AW19" i="14"/>
  <c r="AW15" i="14"/>
  <c r="AW14" i="14"/>
  <c r="AW16" i="14"/>
  <c r="AQ23" i="14"/>
  <c r="AU23" i="14"/>
  <c r="AQ21" i="14"/>
  <c r="AO24" i="14"/>
  <c r="AU8" i="14"/>
  <c r="AV7" i="14"/>
  <c r="AV9" i="14"/>
  <c r="Y17" i="14"/>
  <c r="AA16" i="14"/>
  <c r="W18" i="14"/>
  <c r="X18" i="14" s="1"/>
  <c r="EQ19" i="1"/>
  <c r="CJ18" i="1"/>
  <c r="CJ19" i="1"/>
  <c r="EQ18" i="1"/>
  <c r="CD19" i="1"/>
  <c r="CF19" i="1" s="1"/>
  <c r="CD18" i="1"/>
  <c r="CF18" i="1" s="1"/>
  <c r="W18" i="1"/>
  <c r="W19" i="1"/>
  <c r="W17" i="1"/>
  <c r="CJ20" i="1"/>
  <c r="EQ21" i="1"/>
  <c r="ES21" i="1" s="1"/>
  <c r="EQ20" i="1"/>
  <c r="ES20" i="1" s="1"/>
  <c r="CJ21" i="1"/>
  <c r="EQ15" i="1"/>
  <c r="ES15" i="1" s="1"/>
  <c r="W20" i="1"/>
  <c r="EQ17" i="1"/>
  <c r="ES17" i="1" s="1"/>
  <c r="CD17" i="1"/>
  <c r="CF17" i="1" s="1"/>
  <c r="EQ12" i="1"/>
  <c r="ES12" i="1" s="1"/>
  <c r="CD14" i="1"/>
  <c r="CF14" i="1" s="1"/>
  <c r="W21" i="1"/>
  <c r="CD12" i="1"/>
  <c r="CF12" i="1" s="1"/>
  <c r="CJ13" i="1"/>
  <c r="CD20" i="1"/>
  <c r="CF20" i="1" s="1"/>
  <c r="CD21" i="1"/>
  <c r="CF21" i="1" s="1"/>
  <c r="CJ17" i="1"/>
  <c r="CJ15" i="1"/>
  <c r="CD10" i="1"/>
  <c r="CF10" i="1" s="1"/>
  <c r="CD11" i="1"/>
  <c r="CF11" i="1" s="1"/>
  <c r="CJ12" i="1"/>
  <c r="W12" i="1"/>
  <c r="W14" i="1"/>
  <c r="W11" i="1"/>
  <c r="CJ7" i="1"/>
  <c r="W10" i="1"/>
  <c r="EQ13" i="1"/>
  <c r="ES13" i="1" s="1"/>
  <c r="CD7" i="1"/>
  <c r="CF7" i="1" s="1"/>
  <c r="CJ10" i="1"/>
  <c r="EQ10" i="1"/>
  <c r="ES10" i="1" s="1"/>
  <c r="CJ9" i="1"/>
  <c r="EQ9" i="1"/>
  <c r="ES9" i="1" s="1"/>
  <c r="W13" i="1"/>
  <c r="CD13" i="1"/>
  <c r="CF13" i="1" s="1"/>
  <c r="CJ8" i="1"/>
  <c r="EQ8" i="1"/>
  <c r="ES8" i="1" s="1"/>
  <c r="EQ7" i="1"/>
  <c r="ES7" i="1" s="1"/>
  <c r="CJ11" i="1"/>
  <c r="EQ11" i="1"/>
  <c r="ES11" i="1" s="1"/>
  <c r="W16" i="1"/>
  <c r="CD16" i="1"/>
  <c r="CF16" i="1" s="1"/>
  <c r="W7" i="1"/>
  <c r="CD15" i="1"/>
  <c r="CF15" i="1" s="1"/>
  <c r="W15" i="1"/>
  <c r="CJ16" i="1"/>
  <c r="EQ16" i="1"/>
  <c r="ES16" i="1" s="1"/>
  <c r="EQ14" i="1"/>
  <c r="ES14" i="1" s="1"/>
  <c r="CJ14" i="1"/>
  <c r="W8" i="1"/>
  <c r="CD8" i="1"/>
  <c r="CF8" i="1" s="1"/>
  <c r="W9" i="1"/>
  <c r="CD9" i="1"/>
  <c r="CF9" i="1" s="1"/>
  <c r="AT23" i="14" l="1"/>
  <c r="AV23" i="14"/>
  <c r="AW23" i="14" s="1"/>
  <c r="AV11" i="14"/>
  <c r="AV12" i="14"/>
  <c r="AV13" i="14"/>
  <c r="AT13" i="14"/>
  <c r="CK18" i="1"/>
  <c r="FK18" i="1" s="1"/>
  <c r="K18" i="13" s="1"/>
  <c r="ES18" i="1"/>
  <c r="CK19" i="1"/>
  <c r="FK19" i="1" s="1"/>
  <c r="ES19" i="1"/>
  <c r="AV10" i="14"/>
  <c r="AT21" i="14"/>
  <c r="AR10" i="14"/>
  <c r="AT20" i="14"/>
  <c r="AR9" i="14"/>
  <c r="AR21" i="14"/>
  <c r="AT8" i="14"/>
  <c r="AR22" i="14"/>
  <c r="AR8" i="14"/>
  <c r="AV22" i="14"/>
  <c r="AV20" i="14"/>
  <c r="AR7" i="14"/>
  <c r="AT22" i="14"/>
  <c r="AR11" i="14"/>
  <c r="AR19" i="14"/>
  <c r="AR12" i="14"/>
  <c r="AR16" i="14"/>
  <c r="AR18" i="14"/>
  <c r="AR15" i="14"/>
  <c r="AR17" i="14"/>
  <c r="AR13" i="14"/>
  <c r="AR23" i="14"/>
  <c r="AR14" i="14"/>
  <c r="AR20" i="14"/>
  <c r="AR24" i="14"/>
  <c r="AS24" i="14" s="1"/>
  <c r="AV8" i="14"/>
  <c r="AV21" i="14"/>
  <c r="AW21" i="14" s="1"/>
  <c r="Y18" i="14"/>
  <c r="Z17" i="14"/>
  <c r="AA17" i="14" s="1"/>
  <c r="W19" i="14"/>
  <c r="X19" i="14" s="1"/>
  <c r="ER19" i="1"/>
  <c r="ER18" i="1"/>
  <c r="CD22" i="1" a="1"/>
  <c r="CD22" i="1" s="1"/>
  <c r="CE20" i="1" s="1"/>
  <c r="X20" i="1" s="1"/>
  <c r="FJ20" i="1" s="1"/>
  <c r="CJ22" i="1"/>
  <c r="EQ22" i="1" a="1"/>
  <c r="EQ22" i="1" s="1"/>
  <c r="ER14" i="1" s="1"/>
  <c r="AW8" i="14" l="1"/>
  <c r="AW20" i="14"/>
  <c r="AW13" i="14"/>
  <c r="AW22" i="14"/>
  <c r="AS23" i="14"/>
  <c r="AS11" i="14"/>
  <c r="AT11" i="14" s="1"/>
  <c r="AW11" i="14" s="1"/>
  <c r="AS14" i="14"/>
  <c r="AS10" i="14"/>
  <c r="AT10" i="14" s="1"/>
  <c r="AW10" i="14" s="1"/>
  <c r="AS17" i="14"/>
  <c r="AS18" i="14"/>
  <c r="AS15" i="14"/>
  <c r="AS13" i="14"/>
  <c r="AS8" i="14"/>
  <c r="AS9" i="14"/>
  <c r="AT9" i="14" s="1"/>
  <c r="AW9" i="14" s="1"/>
  <c r="AS12" i="14"/>
  <c r="AT12" i="14" s="1"/>
  <c r="AW12" i="14" s="1"/>
  <c r="AS19" i="14"/>
  <c r="AS20" i="14"/>
  <c r="AS16" i="14"/>
  <c r="AS21" i="14"/>
  <c r="AS7" i="14"/>
  <c r="AT7" i="14" s="1"/>
  <c r="AW7" i="14" s="1"/>
  <c r="AS22" i="14"/>
  <c r="Y19" i="14"/>
  <c r="Z19" i="14" s="1"/>
  <c r="Z18" i="14"/>
  <c r="AA18" i="14" s="1"/>
  <c r="S18" i="14" s="1"/>
  <c r="W20" i="14"/>
  <c r="X20" i="14" s="1"/>
  <c r="CE19" i="1"/>
  <c r="X19" i="1" s="1"/>
  <c r="FJ19" i="1" s="1"/>
  <c r="CE18" i="1"/>
  <c r="X18" i="1" s="1"/>
  <c r="FJ18" i="1" s="1"/>
  <c r="J18" i="13" s="1"/>
  <c r="CE21" i="1"/>
  <c r="X21" i="1" s="1"/>
  <c r="FJ21" i="1" s="1"/>
  <c r="ER20" i="1"/>
  <c r="CK20" i="1" s="1"/>
  <c r="FK20" i="1" s="1"/>
  <c r="CE17" i="1"/>
  <c r="X17" i="1" s="1"/>
  <c r="FJ17" i="1" s="1"/>
  <c r="ER17" i="1"/>
  <c r="CK17" i="1" s="1"/>
  <c r="FK17" i="1" s="1"/>
  <c r="K17" i="13" s="1"/>
  <c r="ER13" i="1"/>
  <c r="ER9" i="1"/>
  <c r="ER11" i="1"/>
  <c r="ER15" i="1"/>
  <c r="ER10" i="1"/>
  <c r="CE16" i="1"/>
  <c r="ER8" i="1"/>
  <c r="ER21" i="1"/>
  <c r="CK21" i="1" s="1"/>
  <c r="FK21" i="1" s="1"/>
  <c r="ER16" i="1"/>
  <c r="ER7" i="1"/>
  <c r="ER12" i="1"/>
  <c r="J17" i="13" l="1"/>
  <c r="Y20" i="14"/>
  <c r="Z20" i="14" s="1"/>
  <c r="AA20" i="14" s="1"/>
  <c r="S20" i="14" s="1"/>
  <c r="AA19" i="14"/>
  <c r="S19" i="14" s="1"/>
  <c r="W21" i="14"/>
  <c r="X21" i="14" s="1"/>
  <c r="W22" i="14" s="1"/>
  <c r="X22" i="14" s="1"/>
  <c r="W23" i="14" s="1"/>
  <c r="X23" i="14" s="1"/>
  <c r="ER22" i="1"/>
  <c r="Y23" i="14" l="1"/>
  <c r="Z23" i="14" s="1"/>
  <c r="Y22" i="14"/>
  <c r="Z22" i="14" s="1"/>
  <c r="Y21" i="14"/>
  <c r="EX22" i="1"/>
  <c r="C22" i="1"/>
  <c r="E10" i="1" l="1"/>
  <c r="E18" i="1"/>
  <c r="E11" i="1"/>
  <c r="E19" i="1"/>
  <c r="E12" i="1"/>
  <c r="E20" i="1"/>
  <c r="E13" i="1"/>
  <c r="E21" i="1"/>
  <c r="E14" i="1"/>
  <c r="E9" i="1"/>
  <c r="E17" i="1"/>
  <c r="E15" i="1"/>
  <c r="E8" i="1"/>
  <c r="G8" i="1" s="1"/>
  <c r="E16" i="1"/>
  <c r="AA23" i="14"/>
  <c r="S23" i="14" s="1"/>
  <c r="AA22" i="14"/>
  <c r="S22" i="14" s="1"/>
  <c r="Z21" i="14"/>
  <c r="AA21" i="14" s="1"/>
  <c r="S21" i="14" s="1"/>
  <c r="CG18" i="1"/>
  <c r="CG19" i="1"/>
  <c r="ET18" i="1"/>
  <c r="ET19" i="1"/>
  <c r="ET10" i="1"/>
  <c r="CK10" i="1" s="1"/>
  <c r="FK10" i="1" s="1"/>
  <c r="K10" i="13" s="1"/>
  <c r="ET11" i="1"/>
  <c r="CK11" i="1" s="1"/>
  <c r="FK11" i="1" s="1"/>
  <c r="ET16" i="1"/>
  <c r="CK16" i="1" s="1"/>
  <c r="FK16" i="1" s="1"/>
  <c r="K16" i="13" s="1"/>
  <c r="ET8" i="1"/>
  <c r="CK8" i="1" s="1"/>
  <c r="FK8" i="1" s="1"/>
  <c r="K8" i="13" s="1"/>
  <c r="ET9" i="1"/>
  <c r="CK9" i="1" s="1"/>
  <c r="FK9" i="1" s="1"/>
  <c r="K9" i="13" s="1"/>
  <c r="ET21" i="1"/>
  <c r="ET17" i="1"/>
  <c r="ET14" i="1"/>
  <c r="CK14" i="1" s="1"/>
  <c r="FK14" i="1" s="1"/>
  <c r="ET15" i="1"/>
  <c r="CK15" i="1" s="1"/>
  <c r="FK15" i="1" s="1"/>
  <c r="ET20" i="1"/>
  <c r="ET12" i="1"/>
  <c r="CK12" i="1" s="1"/>
  <c r="FK12" i="1" s="1"/>
  <c r="ET13" i="1"/>
  <c r="CK13" i="1" s="1"/>
  <c r="FK13" i="1" s="1"/>
  <c r="ET7" i="1"/>
  <c r="CK7" i="1" s="1"/>
  <c r="FK7" i="1" s="1"/>
  <c r="K7" i="13" s="1"/>
  <c r="E7" i="1"/>
  <c r="F18" i="1" l="1"/>
  <c r="G18" i="1"/>
  <c r="F16" i="1"/>
  <c r="G16" i="1"/>
  <c r="F20" i="1"/>
  <c r="G20" i="1"/>
  <c r="F14" i="1"/>
  <c r="G14" i="1"/>
  <c r="F21" i="1"/>
  <c r="G21" i="1"/>
  <c r="F13" i="1"/>
  <c r="G13" i="1"/>
  <c r="F12" i="1"/>
  <c r="G12" i="1"/>
  <c r="F10" i="1"/>
  <c r="G10" i="1"/>
  <c r="F11" i="1"/>
  <c r="G11" i="1"/>
  <c r="F17" i="1"/>
  <c r="G17" i="1"/>
  <c r="F9" i="1"/>
  <c r="G9" i="1"/>
  <c r="F19" i="1"/>
  <c r="G19" i="1"/>
  <c r="F8" i="1"/>
  <c r="F15" i="1"/>
  <c r="G15" i="1"/>
  <c r="K11" i="13"/>
  <c r="K12" i="13"/>
  <c r="K15" i="13"/>
  <c r="K14" i="13"/>
  <c r="K13" i="13"/>
  <c r="G7" i="1"/>
  <c r="F7" i="1"/>
  <c r="EU21" i="1"/>
  <c r="J21" i="1" s="1"/>
  <c r="EU16" i="1"/>
  <c r="J16" i="1" s="1"/>
  <c r="EU14" i="1"/>
  <c r="J14" i="1" s="1"/>
  <c r="EU12" i="1"/>
  <c r="J12" i="1" s="1"/>
  <c r="EU10" i="1"/>
  <c r="J10" i="1" s="1"/>
  <c r="EU11" i="1"/>
  <c r="J11" i="1" s="1"/>
  <c r="N18" i="1"/>
  <c r="O18" i="1" s="1"/>
  <c r="N19" i="1"/>
  <c r="O19" i="1" s="1"/>
  <c r="CH19" i="1"/>
  <c r="I19" i="1" s="1"/>
  <c r="CH18" i="1"/>
  <c r="I18" i="1" s="1"/>
  <c r="EU19" i="1"/>
  <c r="J19" i="1" s="1"/>
  <c r="EU18" i="1"/>
  <c r="J18" i="1" s="1"/>
  <c r="CK22" i="1"/>
  <c r="N13" i="1"/>
  <c r="O13" i="1" s="1"/>
  <c r="EU13" i="1"/>
  <c r="J13" i="1" s="1"/>
  <c r="EU17" i="1"/>
  <c r="J17" i="1" s="1"/>
  <c r="EU9" i="1"/>
  <c r="J9" i="1" s="1"/>
  <c r="EU20" i="1"/>
  <c r="J20" i="1" s="1"/>
  <c r="N7" i="1"/>
  <c r="O7" i="1" s="1"/>
  <c r="EU7" i="1"/>
  <c r="J7" i="1" s="1"/>
  <c r="N8" i="1"/>
  <c r="O8" i="1" s="1"/>
  <c r="EU8" i="1"/>
  <c r="J8" i="1" s="1"/>
  <c r="N15" i="1"/>
  <c r="O15" i="1" s="1"/>
  <c r="EU15" i="1"/>
  <c r="J15" i="1" s="1"/>
  <c r="N17" i="1"/>
  <c r="N16" i="1"/>
  <c r="N9" i="1"/>
  <c r="N14" i="1"/>
  <c r="N21" i="1"/>
  <c r="N20" i="1"/>
  <c r="N12" i="1"/>
  <c r="N10" i="1"/>
  <c r="N11" i="1"/>
  <c r="AE28" i="1" a="1"/>
  <c r="AE28" i="1" s="1"/>
  <c r="EU22" i="1" l="1"/>
  <c r="O12" i="1"/>
  <c r="O17" i="1"/>
  <c r="O20" i="1"/>
  <c r="O21" i="1"/>
  <c r="O14" i="1"/>
  <c r="O9" i="1"/>
  <c r="O10" i="1"/>
  <c r="O16" i="1"/>
  <c r="N22" i="1"/>
  <c r="O11" i="1"/>
  <c r="CH20" i="1"/>
  <c r="I20" i="1" s="1"/>
  <c r="CH16" i="1"/>
  <c r="I16" i="1" s="1"/>
  <c r="CH17" i="1"/>
  <c r="I17" i="1" s="1"/>
  <c r="CH21" i="1"/>
  <c r="I21" i="1" s="1"/>
  <c r="CH14" i="1"/>
  <c r="I14" i="1" s="1"/>
  <c r="CH12" i="1"/>
  <c r="I12" i="1" s="1"/>
  <c r="CH8" i="1"/>
  <c r="I8" i="1" s="1"/>
  <c r="CH9" i="1"/>
  <c r="I9" i="1" s="1"/>
  <c r="CH15" i="1"/>
  <c r="I15" i="1" s="1"/>
  <c r="CH13" i="1"/>
  <c r="I13" i="1" s="1"/>
  <c r="CH10" i="1"/>
  <c r="I10" i="1" s="1"/>
  <c r="CH11" i="1"/>
  <c r="I11" i="1" s="1"/>
  <c r="E22" i="1"/>
  <c r="P18" i="1" l="1"/>
  <c r="P19" i="1"/>
  <c r="CH7" i="1"/>
  <c r="I7" i="1" s="1"/>
  <c r="CE15" i="1"/>
  <c r="CE11" i="1"/>
  <c r="CE8" i="1"/>
  <c r="CE9" i="1"/>
  <c r="CE13" i="1"/>
  <c r="O22" i="1"/>
  <c r="CE7" i="1"/>
  <c r="CG9" i="1"/>
  <c r="CG20" i="1"/>
  <c r="CG16" i="1"/>
  <c r="X16" i="1" s="1"/>
  <c r="FJ16" i="1" s="1"/>
  <c r="J16" i="13" s="1"/>
  <c r="CG12" i="1"/>
  <c r="CG21" i="1"/>
  <c r="CG7" i="1"/>
  <c r="CG10" i="1"/>
  <c r="CG15" i="1"/>
  <c r="CG8" i="1"/>
  <c r="CG17" i="1"/>
  <c r="CG14" i="1"/>
  <c r="CG11" i="1"/>
  <c r="CG13" i="1"/>
  <c r="W22" i="1"/>
  <c r="CE10" i="1"/>
  <c r="CE12" i="1"/>
  <c r="CE14" i="1"/>
  <c r="P11" i="1"/>
  <c r="P20" i="1"/>
  <c r="P8" i="1"/>
  <c r="P12" i="1"/>
  <c r="P17" i="1"/>
  <c r="P10" i="1"/>
  <c r="P16" i="1"/>
  <c r="P13" i="1"/>
  <c r="P15" i="1"/>
  <c r="P9" i="1"/>
  <c r="P21" i="1"/>
  <c r="P7" i="1"/>
  <c r="P14" i="1"/>
  <c r="Q19" i="1" l="1"/>
  <c r="R19" i="1" s="1"/>
  <c r="T19" i="1" s="1"/>
  <c r="X12" i="1"/>
  <c r="FJ12" i="1" s="1"/>
  <c r="Q18" i="1"/>
  <c r="R18" i="1" s="1"/>
  <c r="T18" i="1" s="1"/>
  <c r="X11" i="1"/>
  <c r="FJ11" i="1" s="1"/>
  <c r="X8" i="1"/>
  <c r="FJ8" i="1" s="1"/>
  <c r="J8" i="13" s="1"/>
  <c r="X7" i="1"/>
  <c r="FJ7" i="1" s="1"/>
  <c r="J7" i="13" s="1"/>
  <c r="X14" i="1"/>
  <c r="FJ14" i="1" s="1"/>
  <c r="J14" i="13" s="1"/>
  <c r="Q10" i="1"/>
  <c r="R10" i="1" s="1"/>
  <c r="T10" i="1" s="1"/>
  <c r="CH22" i="1"/>
  <c r="X10" i="1"/>
  <c r="FJ10" i="1" s="1"/>
  <c r="J10" i="13" s="1"/>
  <c r="Q7" i="1"/>
  <c r="R7" i="1" s="1"/>
  <c r="T7" i="1" s="1"/>
  <c r="Q9" i="1"/>
  <c r="R9" i="1" s="1"/>
  <c r="T9" i="1" s="1"/>
  <c r="X13" i="1"/>
  <c r="FJ13" i="1" s="1"/>
  <c r="X15" i="1"/>
  <c r="FJ15" i="1" s="1"/>
  <c r="J15" i="13" s="1"/>
  <c r="X9" i="1"/>
  <c r="FJ9" i="1" s="1"/>
  <c r="J9" i="13" s="1"/>
  <c r="Q20" i="1"/>
  <c r="R20" i="1" s="1"/>
  <c r="T20" i="1" s="1"/>
  <c r="Q16" i="1"/>
  <c r="R16" i="1" s="1"/>
  <c r="T16" i="1" s="1"/>
  <c r="Q12" i="1"/>
  <c r="R12" i="1" s="1"/>
  <c r="T12" i="1" s="1"/>
  <c r="Q21" i="1"/>
  <c r="R21" i="1" s="1"/>
  <c r="T21" i="1" s="1"/>
  <c r="Q15" i="1"/>
  <c r="R15" i="1" s="1"/>
  <c r="T15" i="1" s="1"/>
  <c r="Q11" i="1"/>
  <c r="R11" i="1" s="1"/>
  <c r="T11" i="1" s="1"/>
  <c r="Q14" i="1"/>
  <c r="R14" i="1" s="1"/>
  <c r="T14" i="1" s="1"/>
  <c r="Q17" i="1"/>
  <c r="R17" i="1" s="1"/>
  <c r="T17" i="1" s="1"/>
  <c r="Q8" i="1"/>
  <c r="R8" i="1" s="1"/>
  <c r="T8" i="1" s="1"/>
  <c r="Q13" i="1"/>
  <c r="R13" i="1" s="1"/>
  <c r="T13" i="1" s="1"/>
  <c r="CE22" i="1"/>
  <c r="J11" i="13" l="1"/>
  <c r="J12" i="13"/>
  <c r="J13" i="13"/>
  <c r="L19" i="1"/>
  <c r="L18" i="1"/>
  <c r="X22" i="1"/>
  <c r="R22" i="1" a="1"/>
  <c r="R22" i="1" s="1"/>
  <c r="Q22" i="1"/>
  <c r="L21" i="1"/>
  <c r="L17" i="1"/>
  <c r="L12" i="1"/>
  <c r="L20" i="1"/>
  <c r="L10" i="1"/>
  <c r="L15" i="1"/>
  <c r="L14" i="1"/>
  <c r="L11" i="1"/>
  <c r="L16" i="1"/>
  <c r="L9" i="1"/>
  <c r="L13" i="1"/>
  <c r="L8" i="1"/>
  <c r="L7" i="1"/>
  <c r="S18" i="1" l="1"/>
  <c r="S19" i="1"/>
  <c r="U19" i="1"/>
  <c r="U18" i="1"/>
  <c r="S21" i="1"/>
  <c r="M21" i="1" s="1"/>
  <c r="FI21" i="1" s="1"/>
  <c r="S17" i="1"/>
  <c r="S20" i="1"/>
  <c r="M20" i="1" s="1"/>
  <c r="FI20" i="1" s="1"/>
  <c r="S7" i="1"/>
  <c r="S8" i="1"/>
  <c r="S12" i="1"/>
  <c r="S9" i="1"/>
  <c r="S13" i="1"/>
  <c r="S14" i="1"/>
  <c r="S15" i="1"/>
  <c r="S10" i="1"/>
  <c r="S16" i="1"/>
  <c r="S11" i="1"/>
  <c r="U9" i="1"/>
  <c r="U14" i="1"/>
  <c r="U16" i="1"/>
  <c r="U15" i="1"/>
  <c r="U20" i="1"/>
  <c r="U10" i="1"/>
  <c r="U21" i="1"/>
  <c r="U7" i="1"/>
  <c r="U12" i="1"/>
  <c r="U13" i="1"/>
  <c r="U8" i="1"/>
  <c r="U17" i="1"/>
  <c r="U11" i="1"/>
  <c r="FL20" i="1" l="1"/>
  <c r="FM20" i="1"/>
  <c r="FM21" i="1"/>
  <c r="FL21" i="1"/>
  <c r="M11" i="1"/>
  <c r="FI11" i="1" s="1"/>
  <c r="M8" i="1"/>
  <c r="FI8" i="1" s="1"/>
  <c r="I8" i="13" s="1"/>
  <c r="M17" i="1"/>
  <c r="FI17" i="1" s="1"/>
  <c r="I17" i="13" s="1"/>
  <c r="M19" i="1"/>
  <c r="FI19" i="1" s="1"/>
  <c r="M18" i="1"/>
  <c r="FI18" i="1" s="1"/>
  <c r="I18" i="13" s="1"/>
  <c r="M16" i="1"/>
  <c r="FI16" i="1" s="1"/>
  <c r="M7" i="1"/>
  <c r="FI7" i="1" s="1"/>
  <c r="I7" i="13" s="1"/>
  <c r="M13" i="1"/>
  <c r="FI13" i="1" s="1"/>
  <c r="M12" i="1"/>
  <c r="FI12" i="1" s="1"/>
  <c r="M15" i="1"/>
  <c r="FI15" i="1" s="1"/>
  <c r="I15" i="13" s="1"/>
  <c r="M14" i="1"/>
  <c r="FI14" i="1" s="1"/>
  <c r="M9" i="1"/>
  <c r="FI9" i="1" s="1"/>
  <c r="I9" i="13" s="1"/>
  <c r="M10" i="1"/>
  <c r="FI10" i="1" s="1"/>
  <c r="I10" i="13" s="1"/>
  <c r="S22" i="1"/>
  <c r="L22" i="1"/>
  <c r="I14" i="13" l="1"/>
  <c r="I11" i="13"/>
  <c r="I12" i="13"/>
  <c r="I13" i="13"/>
  <c r="I16" i="13"/>
  <c r="FN21" i="1"/>
  <c r="FN20" i="1"/>
  <c r="FL14" i="1"/>
  <c r="FM14" i="1"/>
  <c r="FL9" i="1"/>
  <c r="FM9" i="1"/>
  <c r="FL19" i="1"/>
  <c r="FM19" i="1"/>
  <c r="FL8" i="1"/>
  <c r="FM8" i="1"/>
  <c r="FL11" i="1"/>
  <c r="FM11" i="1"/>
  <c r="FL13" i="1"/>
  <c r="FM13" i="1"/>
  <c r="FM17" i="1"/>
  <c r="FL17" i="1"/>
  <c r="FL7" i="1"/>
  <c r="FM7" i="1"/>
  <c r="FL15" i="1"/>
  <c r="FM15" i="1"/>
  <c r="FL16" i="1"/>
  <c r="FM16" i="1"/>
  <c r="FL12" i="1"/>
  <c r="FM12" i="1"/>
  <c r="FM10" i="1"/>
  <c r="FL10" i="1"/>
  <c r="FL18" i="1"/>
  <c r="FM18" i="1"/>
  <c r="M22" i="1"/>
  <c r="FN19" i="1" l="1"/>
  <c r="FN12" i="1"/>
  <c r="FN13" i="1"/>
  <c r="FN15" i="1"/>
  <c r="FN14" i="1"/>
  <c r="FN10" i="1"/>
  <c r="FN16" i="1"/>
  <c r="FN18" i="1"/>
  <c r="FN11" i="1"/>
  <c r="FN8" i="1"/>
  <c r="FN17" i="1"/>
  <c r="FN9" i="1"/>
  <c r="FN7" i="1"/>
  <c r="EH18" i="13"/>
  <c r="EM14" i="13"/>
  <c r="EB16" i="13"/>
  <c r="EJ21" i="13"/>
  <c r="EL11" i="13"/>
  <c r="EN17" i="13"/>
  <c r="EG18" i="13"/>
  <c r="EN15" i="13"/>
  <c r="EC13" i="13"/>
  <c r="EH8" i="13"/>
  <c r="BO18" i="13"/>
  <c r="EC21" i="13"/>
  <c r="BM21" i="13"/>
  <c r="EN8" i="13"/>
  <c r="EO10" i="13"/>
  <c r="BY9" i="13"/>
  <c r="CC14" i="13"/>
  <c r="EG10" i="13"/>
  <c r="ED14" i="13"/>
  <c r="EP16" i="13"/>
  <c r="EA9" i="13"/>
  <c r="BN8" i="13"/>
  <c r="CC13" i="13"/>
  <c r="BO10" i="13"/>
  <c r="BZ11" i="13"/>
  <c r="CC16" i="13"/>
  <c r="EK17" i="13"/>
  <c r="EI11" i="13"/>
  <c r="BQ15" i="13"/>
  <c r="EQ9" i="13"/>
  <c r="BV11" i="13"/>
  <c r="EF8" i="13"/>
  <c r="DZ18" i="13"/>
  <c r="BR21" i="13"/>
  <c r="BW7" i="13"/>
  <c r="CD11" i="13"/>
  <c r="EL8" i="13"/>
  <c r="EG12" i="13"/>
  <c r="BQ21" i="13"/>
  <c r="BN18" i="13"/>
  <c r="BY20" i="13"/>
  <c r="CA21" i="13"/>
  <c r="EB9" i="13"/>
  <c r="BM13" i="13"/>
  <c r="EN20" i="13"/>
  <c r="CA18" i="13"/>
  <c r="BR7" i="13"/>
  <c r="BN7" i="13"/>
  <c r="ED12" i="13"/>
  <c r="DZ16" i="13"/>
  <c r="CB16" i="13"/>
  <c r="BX18" i="13"/>
  <c r="EH16" i="13"/>
  <c r="EK7" i="13"/>
  <c r="BS16" i="13"/>
  <c r="EO20" i="13"/>
  <c r="DZ9" i="13"/>
  <c r="EA13" i="13"/>
  <c r="CC17" i="13"/>
  <c r="BO19" i="13"/>
  <c r="BO9" i="13"/>
  <c r="BP21" i="13"/>
  <c r="BM19" i="13"/>
  <c r="BQ13" i="13"/>
  <c r="BQ19" i="13"/>
  <c r="BZ14" i="13"/>
  <c r="BM11" i="13"/>
  <c r="EE17" i="13"/>
  <c r="BT11" i="13"/>
  <c r="BU12" i="13"/>
  <c r="EF15" i="13"/>
  <c r="BX20" i="13"/>
  <c r="EN16" i="13"/>
  <c r="EN11" i="13"/>
  <c r="BZ12" i="13"/>
  <c r="EP11" i="13"/>
  <c r="BP8" i="13"/>
  <c r="CC10" i="13"/>
  <c r="EK20" i="13"/>
  <c r="BQ14" i="13"/>
  <c r="CA15" i="13"/>
  <c r="EC12" i="13"/>
  <c r="BQ18" i="13"/>
  <c r="EN21" i="13"/>
  <c r="BZ21" i="13"/>
  <c r="EH15" i="13"/>
  <c r="EB18" i="13"/>
  <c r="EN14" i="13"/>
  <c r="EJ7" i="13"/>
  <c r="BM7" i="13"/>
  <c r="CC15" i="13"/>
  <c r="CD9" i="13"/>
  <c r="EG20" i="13"/>
  <c r="EA20" i="13"/>
  <c r="CB13" i="13"/>
  <c r="BW9" i="13"/>
  <c r="BY8" i="13"/>
  <c r="EN12" i="13"/>
  <c r="ED19" i="13"/>
  <c r="CB18" i="13"/>
  <c r="BV10" i="13"/>
  <c r="EG14" i="13"/>
  <c r="EK13" i="13"/>
  <c r="EP10" i="13"/>
  <c r="BQ10" i="13"/>
  <c r="EQ10" i="13"/>
  <c r="BR19" i="13"/>
  <c r="CC8" i="13"/>
  <c r="BS21" i="13"/>
  <c r="BM18" i="13"/>
  <c r="BU7" i="13"/>
  <c r="EB17" i="13"/>
  <c r="BP15" i="13"/>
  <c r="EQ11" i="13"/>
  <c r="EA8" i="13"/>
  <c r="BR18" i="13"/>
  <c r="CD10" i="13"/>
  <c r="EB10" i="13"/>
  <c r="BQ9" i="13"/>
  <c r="DZ21" i="13"/>
  <c r="EC8" i="13"/>
  <c r="BR12" i="13"/>
  <c r="CB19" i="13"/>
  <c r="BZ10" i="13"/>
  <c r="EA7" i="13"/>
  <c r="EJ20" i="13"/>
  <c r="BT19" i="13"/>
  <c r="EE10" i="13"/>
  <c r="BY13" i="13"/>
  <c r="EC14" i="13"/>
  <c r="EN10" i="13"/>
  <c r="EB7" i="13"/>
  <c r="BP12" i="13"/>
  <c r="CB14" i="13"/>
  <c r="DZ10" i="13"/>
  <c r="DZ14" i="13"/>
  <c r="BY14" i="13"/>
  <c r="EE19" i="13"/>
  <c r="BZ19" i="13"/>
  <c r="EM9" i="13"/>
  <c r="EI16" i="13"/>
  <c r="EA18" i="13"/>
  <c r="DZ15" i="13"/>
  <c r="BM14" i="13"/>
  <c r="BQ7" i="13"/>
  <c r="BW12" i="13"/>
  <c r="BR10" i="13"/>
  <c r="EF11" i="13"/>
  <c r="BV21" i="13"/>
  <c r="DZ17" i="13"/>
  <c r="EQ14" i="13"/>
  <c r="BU21" i="13"/>
  <c r="EM11" i="13"/>
  <c r="EC11" i="13"/>
  <c r="BX12" i="13"/>
  <c r="EK18" i="13"/>
  <c r="BU13" i="13"/>
  <c r="EF18" i="13"/>
  <c r="EM16" i="13"/>
  <c r="BN16" i="13"/>
  <c r="EI14" i="13"/>
  <c r="BY11" i="13"/>
  <c r="DZ20" i="13"/>
  <c r="CB20" i="13"/>
  <c r="EL15" i="13"/>
  <c r="BZ9" i="13"/>
  <c r="EM18" i="13"/>
  <c r="EF9" i="13"/>
  <c r="EM10" i="13"/>
  <c r="CA19" i="13"/>
  <c r="EE13" i="13"/>
  <c r="BW16" i="13"/>
  <c r="BN14" i="13"/>
  <c r="EH10" i="13"/>
  <c r="EM19" i="13"/>
  <c r="CC21" i="13"/>
  <c r="EB12" i="13"/>
  <c r="EQ16" i="13"/>
  <c r="BS7" i="13"/>
  <c r="EJ15" i="13"/>
  <c r="EQ21" i="13"/>
  <c r="BX8" i="13"/>
  <c r="EI19" i="13"/>
  <c r="EO13" i="13"/>
  <c r="EL21" i="13"/>
  <c r="EA21" i="13"/>
  <c r="EG7" i="13"/>
  <c r="EJ16" i="13"/>
  <c r="ED20" i="13"/>
  <c r="EA19" i="13"/>
  <c r="EA10" i="13"/>
  <c r="BR17" i="13"/>
  <c r="EG16" i="13"/>
  <c r="EG8" i="13"/>
  <c r="EP19" i="13"/>
  <c r="BO15" i="13"/>
  <c r="EF13" i="13"/>
  <c r="EA17" i="13"/>
  <c r="CB11" i="13"/>
  <c r="BS11" i="13"/>
  <c r="BU20" i="13"/>
  <c r="BR15" i="13"/>
  <c r="BM10" i="13"/>
  <c r="BS13" i="13"/>
  <c r="EQ19" i="13"/>
  <c r="BW8" i="13"/>
  <c r="EO8" i="13"/>
  <c r="EJ9" i="13"/>
  <c r="EQ12" i="13"/>
  <c r="CC20" i="13"/>
  <c r="EF19" i="13"/>
  <c r="BP9" i="13"/>
  <c r="BM8" i="13"/>
  <c r="CA11" i="13"/>
  <c r="CB21" i="13"/>
  <c r="BY18" i="13"/>
  <c r="CA9" i="13"/>
  <c r="BW18" i="13"/>
  <c r="BP10" i="13"/>
  <c r="CD12" i="13"/>
  <c r="EI18" i="13"/>
  <c r="ED8" i="13"/>
  <c r="EH12" i="13"/>
  <c r="EL14" i="13"/>
  <c r="EG13" i="13"/>
  <c r="EP20" i="13"/>
  <c r="CA10" i="13"/>
  <c r="BT9" i="13"/>
  <c r="EE16" i="13"/>
  <c r="BX16" i="13"/>
  <c r="EB21" i="13"/>
  <c r="BV12" i="13"/>
  <c r="EL18" i="13"/>
  <c r="BN19" i="13"/>
  <c r="EF14" i="13"/>
  <c r="CB15" i="13"/>
  <c r="EH14" i="13"/>
  <c r="BM16" i="13"/>
  <c r="DZ11" i="13"/>
  <c r="EP15" i="13"/>
  <c r="BM20" i="13"/>
  <c r="EO12" i="13"/>
  <c r="EG15" i="13"/>
  <c r="EO11" i="13"/>
  <c r="EI9" i="13"/>
  <c r="CC19" i="13"/>
  <c r="ED13" i="13"/>
  <c r="BM17" i="13"/>
  <c r="EI21" i="13"/>
  <c r="EJ11" i="13"/>
  <c r="BW15" i="13"/>
  <c r="BZ7" i="13"/>
  <c r="EN18" i="13"/>
  <c r="ED16" i="13"/>
  <c r="EH13" i="13"/>
  <c r="BU15" i="13"/>
  <c r="EE12" i="13"/>
  <c r="EI10" i="13"/>
  <c r="EJ17" i="13"/>
  <c r="BT16" i="13"/>
  <c r="CB12" i="13"/>
  <c r="BS8" i="13"/>
  <c r="EH20" i="13"/>
  <c r="CA13" i="13"/>
  <c r="BO7" i="13"/>
  <c r="BV18" i="13"/>
  <c r="BN10" i="13"/>
  <c r="BQ11" i="13"/>
  <c r="EQ7" i="13"/>
  <c r="BZ13" i="13"/>
  <c r="CA8" i="13"/>
  <c r="BM9" i="13"/>
  <c r="EL12" i="13"/>
  <c r="EH19" i="13"/>
  <c r="EM7" i="13"/>
  <c r="BR14" i="13"/>
  <c r="EN13" i="13"/>
  <c r="EE18" i="13"/>
  <c r="EK21" i="13"/>
  <c r="EI7" i="13"/>
  <c r="EK8" i="13"/>
  <c r="CD7" i="13"/>
  <c r="BW17" i="13"/>
  <c r="BS14" i="13"/>
  <c r="BT20" i="13"/>
  <c r="BX19" i="13"/>
  <c r="EO17" i="13"/>
  <c r="EO14" i="13"/>
  <c r="BW14" i="13"/>
  <c r="ED15" i="13"/>
  <c r="EK10" i="13"/>
  <c r="CD20" i="13"/>
  <c r="EL13" i="13"/>
  <c r="BQ17" i="13"/>
  <c r="BR20" i="13"/>
  <c r="EK19" i="13"/>
  <c r="EJ12" i="13"/>
  <c r="CC12" i="13"/>
  <c r="EF21" i="13"/>
  <c r="BZ8" i="13"/>
  <c r="EQ13" i="13"/>
  <c r="EQ18" i="13"/>
  <c r="BP11" i="13"/>
  <c r="EI20" i="13"/>
  <c r="BW11" i="13"/>
  <c r="CD15" i="13"/>
  <c r="BO8" i="13"/>
  <c r="BV9" i="13"/>
  <c r="BR11" i="13"/>
  <c r="BP20" i="13"/>
  <c r="CA17" i="13"/>
  <c r="BO14" i="13"/>
  <c r="ED11" i="13"/>
  <c r="EM20" i="13"/>
  <c r="BT13" i="13"/>
  <c r="BR8" i="13"/>
  <c r="BT14" i="13"/>
  <c r="BR9" i="13"/>
  <c r="BV20" i="13"/>
  <c r="EB8" i="13"/>
  <c r="CB9" i="13"/>
  <c r="EK16" i="13"/>
  <c r="BO13" i="13"/>
  <c r="EL19" i="13"/>
  <c r="BP17" i="13"/>
  <c r="EK11" i="13"/>
  <c r="BV17" i="13"/>
  <c r="ED9" i="13"/>
  <c r="BP18" i="13"/>
  <c r="CD18" i="13"/>
  <c r="EG17" i="13"/>
  <c r="CD8" i="13"/>
  <c r="BX21" i="13"/>
  <c r="EM8" i="13"/>
  <c r="BW19" i="13"/>
  <c r="EG19" i="13"/>
  <c r="CD14" i="13"/>
  <c r="BO20" i="13"/>
  <c r="BX9" i="13"/>
  <c r="EM13" i="13"/>
  <c r="BP19" i="13"/>
  <c r="BT21" i="13"/>
  <c r="CC9" i="13"/>
  <c r="EB19" i="13"/>
  <c r="EI8" i="13"/>
  <c r="EO15" i="13"/>
  <c r="BT7" i="13"/>
  <c r="DZ19" i="13"/>
  <c r="BS17" i="13"/>
  <c r="EP7" i="13"/>
  <c r="BT12" i="13"/>
  <c r="CD16" i="13"/>
  <c r="BX17" i="13"/>
  <c r="BS15" i="13"/>
  <c r="CA20" i="13"/>
  <c r="BS19" i="13"/>
  <c r="EA16" i="13"/>
  <c r="BX14" i="13"/>
  <c r="BS10" i="13"/>
  <c r="EC7" i="13"/>
  <c r="BU19" i="13"/>
  <c r="EP21" i="13"/>
  <c r="EL9" i="13"/>
  <c r="BX11" i="13"/>
  <c r="EJ10" i="13"/>
  <c r="EO16" i="13"/>
  <c r="BU14" i="13"/>
  <c r="EL17" i="13"/>
  <c r="BM15" i="13"/>
  <c r="BU11" i="13"/>
  <c r="EB15" i="13"/>
  <c r="BZ15" i="13"/>
  <c r="BU9" i="13"/>
  <c r="DZ13" i="13"/>
  <c r="BQ16" i="13"/>
  <c r="EI12" i="13"/>
  <c r="BT15" i="13"/>
  <c r="EF20" i="13"/>
  <c r="BN12" i="13"/>
  <c r="BN17" i="13"/>
  <c r="EH17" i="13"/>
  <c r="BN9" i="13"/>
  <c r="BW21" i="13"/>
  <c r="BT8" i="13"/>
  <c r="EH7" i="13"/>
  <c r="EM17" i="13"/>
  <c r="EC18" i="13"/>
  <c r="BW10" i="13"/>
  <c r="BY12" i="13"/>
  <c r="EF7" i="13"/>
  <c r="BO21" i="13"/>
  <c r="EF17" i="13"/>
  <c r="BY15" i="13"/>
  <c r="BW20" i="13"/>
  <c r="EB13" i="13"/>
  <c r="ED17" i="13"/>
  <c r="EO9" i="13"/>
  <c r="ED10" i="13"/>
  <c r="BT10" i="13"/>
  <c r="BZ18" i="13"/>
  <c r="EE8" i="13"/>
  <c r="BP16" i="13"/>
  <c r="EK15" i="13"/>
  <c r="BQ8" i="13"/>
  <c r="EA14" i="13"/>
  <c r="CA7" i="13"/>
  <c r="EP18" i="13"/>
  <c r="BZ16" i="13"/>
  <c r="EI17" i="13"/>
  <c r="EC15" i="13"/>
  <c r="BU18" i="13"/>
  <c r="BN21" i="13"/>
  <c r="EQ17" i="13"/>
  <c r="BX13" i="13"/>
  <c r="EL10" i="13"/>
  <c r="EF10" i="13"/>
  <c r="BN20" i="13"/>
  <c r="EH21" i="13"/>
  <c r="BU10" i="13"/>
  <c r="EP12" i="13"/>
  <c r="EQ8" i="13"/>
  <c r="BU17" i="13"/>
  <c r="BV19" i="13"/>
  <c r="CC18" i="13"/>
  <c r="BR16" i="13"/>
  <c r="DZ12" i="13"/>
  <c r="DZ7" i="13"/>
  <c r="CC11" i="13"/>
  <c r="EC16" i="13"/>
  <c r="CD17" i="13"/>
  <c r="BQ12" i="13"/>
  <c r="BV15" i="13"/>
  <c r="CC7" i="13"/>
  <c r="BY21" i="13"/>
  <c r="EC19" i="13"/>
  <c r="EG11" i="13"/>
  <c r="EK12" i="13"/>
  <c r="CA16" i="13"/>
  <c r="EE11" i="13"/>
  <c r="EL7" i="13"/>
  <c r="BY16" i="13"/>
  <c r="BT18" i="13"/>
  <c r="EJ14" i="13"/>
  <c r="EN19" i="13"/>
  <c r="EB14" i="13"/>
  <c r="EE14" i="13"/>
  <c r="CB17" i="13"/>
  <c r="EA11" i="13"/>
  <c r="BN13" i="13"/>
  <c r="BT17" i="13"/>
  <c r="EA15" i="13"/>
  <c r="EI13" i="13"/>
  <c r="EJ13" i="13"/>
  <c r="EO21" i="13"/>
  <c r="ED21" i="13"/>
  <c r="CA14" i="13"/>
  <c r="DZ8" i="13"/>
  <c r="EM21" i="13"/>
  <c r="EE15" i="13"/>
  <c r="EN9" i="13"/>
  <c r="BZ20" i="13"/>
  <c r="BP7" i="13"/>
  <c r="EC9" i="13"/>
  <c r="EP14" i="13"/>
  <c r="BY17" i="13"/>
  <c r="BN11" i="13"/>
  <c r="EO19" i="13"/>
  <c r="BV8" i="13"/>
  <c r="BX7" i="13"/>
  <c r="EJ8" i="13"/>
  <c r="EP9" i="13"/>
  <c r="BR13" i="13"/>
  <c r="EF12" i="13"/>
  <c r="EC17" i="13"/>
  <c r="BU16" i="13"/>
  <c r="EB20" i="13"/>
  <c r="EK9" i="13"/>
  <c r="EL16" i="13"/>
  <c r="BX10" i="13"/>
  <c r="EC10" i="13"/>
  <c r="EO18" i="13"/>
  <c r="EO7" i="13"/>
  <c r="BP13" i="13"/>
  <c r="BY10" i="13"/>
  <c r="EI15" i="13"/>
  <c r="BQ20" i="13"/>
  <c r="BS20" i="13"/>
  <c r="EE9" i="13"/>
  <c r="EQ15" i="13"/>
  <c r="EP13" i="13"/>
  <c r="BS12" i="13"/>
  <c r="BV7" i="13"/>
  <c r="CB8" i="13"/>
  <c r="BP14" i="13"/>
  <c r="EN7" i="13"/>
  <c r="BX15" i="13"/>
  <c r="CB10" i="13"/>
  <c r="BZ17" i="13"/>
  <c r="EE7" i="13"/>
  <c r="BM12" i="13"/>
  <c r="EK14" i="13"/>
  <c r="EF16" i="13"/>
  <c r="BO17" i="13"/>
  <c r="CD21" i="13"/>
  <c r="EP17" i="13"/>
  <c r="BY19" i="13"/>
  <c r="EB11" i="13"/>
  <c r="CD13" i="13"/>
  <c r="EQ20" i="13"/>
  <c r="CB7" i="13"/>
  <c r="ED18" i="13"/>
  <c r="EE21" i="13"/>
  <c r="BN15" i="13"/>
  <c r="EM15" i="13"/>
  <c r="BW13" i="13"/>
  <c r="BV16" i="13"/>
  <c r="EG9" i="13"/>
  <c r="ED7" i="13"/>
  <c r="BU8" i="13"/>
  <c r="BO16" i="13"/>
  <c r="EJ18" i="13"/>
  <c r="EM12" i="13"/>
  <c r="EL20" i="13"/>
  <c r="EH9" i="13"/>
  <c r="BY7" i="13"/>
  <c r="EP8" i="13"/>
  <c r="BV14" i="13"/>
  <c r="EG21" i="13"/>
  <c r="BO11" i="13"/>
  <c r="EJ19" i="13"/>
  <c r="BV13" i="13"/>
  <c r="EE20" i="13"/>
  <c r="BO12" i="13"/>
  <c r="BS18" i="13"/>
  <c r="EH11" i="13"/>
  <c r="CD19" i="13"/>
  <c r="BS9" i="13"/>
  <c r="EC20" i="13"/>
  <c r="EA12" i="13"/>
  <c r="CA12" i="13"/>
  <c r="DY18" i="13"/>
  <c r="DY15" i="13"/>
  <c r="DY9" i="13"/>
  <c r="BL17" i="13"/>
  <c r="BL8" i="13"/>
  <c r="BL18" i="13"/>
  <c r="DY8" i="13"/>
  <c r="DY17" i="13"/>
  <c r="BL19" i="13"/>
  <c r="BL15" i="13"/>
  <c r="BL9" i="13"/>
  <c r="DY20" i="13"/>
  <c r="DY16" i="13"/>
  <c r="BL11" i="13"/>
  <c r="DY19" i="13"/>
  <c r="DY7" i="13"/>
  <c r="D21" i="13"/>
  <c r="O21" i="13" s="1"/>
  <c r="DY11" i="13"/>
  <c r="BL12" i="13"/>
  <c r="DY14" i="13"/>
  <c r="BL14" i="13"/>
  <c r="D13" i="13"/>
  <c r="O13" i="13" s="1"/>
  <c r="D20" i="13"/>
  <c r="O20" i="13" s="1"/>
  <c r="BL16" i="13"/>
  <c r="BL21" i="13"/>
  <c r="DY10" i="13"/>
  <c r="DY13" i="13"/>
  <c r="DY12" i="13"/>
  <c r="BL20" i="13"/>
  <c r="BL13" i="13"/>
  <c r="D10" i="13"/>
  <c r="E10" i="13" s="1"/>
  <c r="D14" i="13"/>
  <c r="O14" i="13" s="1"/>
  <c r="D16" i="13"/>
  <c r="D17" i="13"/>
  <c r="E17" i="13" s="1"/>
  <c r="D8" i="13"/>
  <c r="D9" i="13"/>
  <c r="E9" i="13" s="1"/>
  <c r="D19" i="13"/>
  <c r="E19" i="13" s="1"/>
  <c r="D15" i="13"/>
  <c r="E15" i="13" s="1"/>
  <c r="BL10" i="13"/>
  <c r="DY21" i="13"/>
  <c r="D11" i="13"/>
  <c r="E11" i="13" s="1"/>
  <c r="D12" i="13"/>
  <c r="BL7" i="13"/>
  <c r="D18" i="13"/>
  <c r="E18" i="13" s="1"/>
  <c r="D7" i="13"/>
  <c r="O7" i="13" s="1"/>
  <c r="ER10" i="13" l="1"/>
  <c r="ET10" i="13" s="1"/>
  <c r="ER19" i="13"/>
  <c r="CE20" i="13"/>
  <c r="ER15" i="13"/>
  <c r="ET15" i="13" s="1"/>
  <c r="X19" i="13"/>
  <c r="CE19" i="13"/>
  <c r="CE21" i="13"/>
  <c r="CE11" i="13"/>
  <c r="CG11" i="13" s="1"/>
  <c r="ER20" i="13"/>
  <c r="CK13" i="13"/>
  <c r="ER12" i="13"/>
  <c r="ET12" i="13" s="1"/>
  <c r="ER8" i="13"/>
  <c r="ET8" i="13" s="1"/>
  <c r="X12" i="13"/>
  <c r="X14" i="13"/>
  <c r="X11" i="13"/>
  <c r="X18" i="13"/>
  <c r="CE13" i="13"/>
  <c r="CG13" i="13" s="1"/>
  <c r="X7" i="13"/>
  <c r="CE8" i="13"/>
  <c r="CG8" i="13" s="1"/>
  <c r="CK21" i="13"/>
  <c r="X15" i="13"/>
  <c r="ER9" i="13"/>
  <c r="ET9" i="13" s="1"/>
  <c r="ER21" i="13"/>
  <c r="X20" i="13"/>
  <c r="CK14" i="13"/>
  <c r="CK19" i="13"/>
  <c r="CK15" i="13"/>
  <c r="CK8" i="13"/>
  <c r="CK18" i="13"/>
  <c r="CE10" i="13"/>
  <c r="CG10" i="13" s="1"/>
  <c r="X21" i="13"/>
  <c r="CK17" i="13"/>
  <c r="X13" i="13"/>
  <c r="O18" i="13"/>
  <c r="P18" i="13" s="1"/>
  <c r="CK12" i="13"/>
  <c r="X16" i="13"/>
  <c r="CE12" i="13"/>
  <c r="CG12" i="13" s="1"/>
  <c r="ER16" i="13"/>
  <c r="ET16" i="13" s="1"/>
  <c r="X8" i="13"/>
  <c r="CK11" i="13"/>
  <c r="X17" i="13"/>
  <c r="X10" i="13"/>
  <c r="CE7" i="13"/>
  <c r="ER13" i="13"/>
  <c r="ET13" i="13" s="1"/>
  <c r="CK20" i="13"/>
  <c r="CE18" i="13"/>
  <c r="CK10" i="13"/>
  <c r="CE14" i="13"/>
  <c r="CG14" i="13" s="1"/>
  <c r="CK7" i="13"/>
  <c r="CE9" i="13"/>
  <c r="CG9" i="13" s="1"/>
  <c r="CK9" i="13"/>
  <c r="P20" i="13"/>
  <c r="P21" i="13"/>
  <c r="P14" i="13"/>
  <c r="O17" i="13"/>
  <c r="O8" i="13"/>
  <c r="P13" i="13"/>
  <c r="ER7" i="13"/>
  <c r="X9" i="13"/>
  <c r="CE15" i="13"/>
  <c r="CG15" i="13" s="1"/>
  <c r="O9" i="13"/>
  <c r="ER18" i="13"/>
  <c r="ET18" i="13" s="1"/>
  <c r="E16" i="13"/>
  <c r="E7" i="13"/>
  <c r="O15" i="13"/>
  <c r="P15" i="13" s="1"/>
  <c r="E8" i="13"/>
  <c r="D22" i="13"/>
  <c r="CK16" i="13"/>
  <c r="E13" i="13"/>
  <c r="E20" i="13"/>
  <c r="E21" i="13"/>
  <c r="ER11" i="13"/>
  <c r="ET11" i="13" s="1"/>
  <c r="O19" i="13"/>
  <c r="P19" i="13" s="1"/>
  <c r="O10" i="13"/>
  <c r="P10" i="13" s="1"/>
  <c r="ER17" i="13"/>
  <c r="ET17" i="13" s="1"/>
  <c r="P7" i="13"/>
  <c r="O12" i="13"/>
  <c r="P12" i="13" s="1"/>
  <c r="ER14" i="13"/>
  <c r="ET14" i="13" s="1"/>
  <c r="O16" i="13"/>
  <c r="P16" i="13" s="1"/>
  <c r="E14" i="13"/>
  <c r="CE17" i="13"/>
  <c r="CG17" i="13" s="1"/>
  <c r="E12" i="13"/>
  <c r="O11" i="13"/>
  <c r="CE16" i="13"/>
  <c r="CG16" i="13" s="1"/>
  <c r="CG7" i="13" l="1"/>
  <c r="CE22" i="13" a="1"/>
  <c r="CE22" i="13" s="1"/>
  <c r="CF7" i="13" s="1"/>
  <c r="Y7" i="13" s="1"/>
  <c r="ET7" i="13"/>
  <c r="ER22" i="13" a="1"/>
  <c r="ER22" i="13" s="1"/>
  <c r="ES8" i="13" s="1"/>
  <c r="CL8" i="13" s="1"/>
  <c r="CF21" i="13"/>
  <c r="CG21" i="13"/>
  <c r="Y18" i="13"/>
  <c r="CG18" i="13"/>
  <c r="CF19" i="13"/>
  <c r="CG19" i="13"/>
  <c r="CF20" i="13"/>
  <c r="CG20" i="13"/>
  <c r="CL19" i="13"/>
  <c r="ET19" i="13"/>
  <c r="ES21" i="13"/>
  <c r="ET21" i="13"/>
  <c r="ES20" i="13"/>
  <c r="ET20" i="13"/>
  <c r="CI15" i="13"/>
  <c r="G15" i="13" s="1"/>
  <c r="EV18" i="13"/>
  <c r="H18" i="13" s="1"/>
  <c r="CI11" i="13"/>
  <c r="G11" i="13" s="1"/>
  <c r="CL21" i="13"/>
  <c r="CI12" i="13"/>
  <c r="G12" i="13" s="1"/>
  <c r="CL20" i="13"/>
  <c r="CI13" i="13"/>
  <c r="G13" i="13" s="1"/>
  <c r="Y20" i="13"/>
  <c r="ES19" i="13"/>
  <c r="EV19" i="13"/>
  <c r="H19" i="13" s="1"/>
  <c r="CI20" i="13"/>
  <c r="G20" i="13" s="1"/>
  <c r="EV10" i="13"/>
  <c r="H10" i="13" s="1"/>
  <c r="EV13" i="13"/>
  <c r="H13" i="13" s="1"/>
  <c r="EV20" i="13"/>
  <c r="H20" i="13" s="1"/>
  <c r="CI7" i="13"/>
  <c r="G7" i="13" s="1"/>
  <c r="EV16" i="13"/>
  <c r="H16" i="13" s="1"/>
  <c r="EV9" i="13"/>
  <c r="H9" i="13" s="1"/>
  <c r="CI21" i="13"/>
  <c r="G21" i="13" s="1"/>
  <c r="Y21" i="13"/>
  <c r="CI19" i="13"/>
  <c r="G19" i="13" s="1"/>
  <c r="Y19" i="13"/>
  <c r="CF18" i="13"/>
  <c r="EV8" i="13"/>
  <c r="H8" i="13" s="1"/>
  <c r="EV15" i="13"/>
  <c r="H15" i="13" s="1"/>
  <c r="CI9" i="13"/>
  <c r="G9" i="13" s="1"/>
  <c r="EV21" i="13"/>
  <c r="H21" i="13" s="1"/>
  <c r="EV7" i="13"/>
  <c r="H7" i="13" s="1"/>
  <c r="EV12" i="13"/>
  <c r="H12" i="13" s="1"/>
  <c r="CI8" i="13"/>
  <c r="G8" i="13" s="1"/>
  <c r="O22" i="13"/>
  <c r="CK22" i="13"/>
  <c r="CI18" i="13"/>
  <c r="G18" i="13" s="1"/>
  <c r="CI14" i="13"/>
  <c r="G14" i="13" s="1"/>
  <c r="CI10" i="13"/>
  <c r="G10" i="13" s="1"/>
  <c r="CF17" i="13"/>
  <c r="Y17" i="13"/>
  <c r="CI17" i="13"/>
  <c r="G17" i="13" s="1"/>
  <c r="X22" i="13"/>
  <c r="EV17" i="13"/>
  <c r="H17" i="13" s="1"/>
  <c r="EV14" i="13"/>
  <c r="H14" i="13" s="1"/>
  <c r="P11" i="13"/>
  <c r="ES18" i="13"/>
  <c r="CL18" i="13"/>
  <c r="P8" i="13"/>
  <c r="P9" i="13"/>
  <c r="P17" i="13"/>
  <c r="EV11" i="13"/>
  <c r="H11" i="13" s="1"/>
  <c r="CI16" i="13"/>
  <c r="G16" i="13" s="1"/>
  <c r="ES17" i="13" l="1"/>
  <c r="CL17" i="13" s="1"/>
  <c r="ES16" i="13"/>
  <c r="CL16" i="13" s="1"/>
  <c r="CF15" i="13"/>
  <c r="ES15" i="13"/>
  <c r="CL15" i="13" s="1"/>
  <c r="CF16" i="13"/>
  <c r="Y16" i="13" s="1"/>
  <c r="CF12" i="13"/>
  <c r="ES12" i="13"/>
  <c r="CL12" i="13" s="1"/>
  <c r="CF13" i="13"/>
  <c r="Y13" i="13" s="1"/>
  <c r="ES13" i="13"/>
  <c r="CL13" i="13" s="1"/>
  <c r="CF14" i="13"/>
  <c r="Y14" i="13" s="1"/>
  <c r="CF9" i="13"/>
  <c r="CF11" i="13"/>
  <c r="Y11" i="13" s="1"/>
  <c r="CF10" i="13"/>
  <c r="Q20" i="13"/>
  <c r="ES14" i="13"/>
  <c r="CL14" i="13" s="1"/>
  <c r="CH16" i="13"/>
  <c r="CH12" i="13"/>
  <c r="CH13" i="13"/>
  <c r="ES11" i="13"/>
  <c r="CL11" i="13" s="1"/>
  <c r="CH8" i="13"/>
  <c r="Q16" i="13"/>
  <c r="Q9" i="13"/>
  <c r="EU13" i="13"/>
  <c r="CH7" i="13"/>
  <c r="CH20" i="13"/>
  <c r="P22" i="13"/>
  <c r="CH17" i="13"/>
  <c r="Q13" i="13"/>
  <c r="CH18" i="13"/>
  <c r="CH14" i="13"/>
  <c r="CH10" i="13"/>
  <c r="Q10" i="13"/>
  <c r="Q7" i="13"/>
  <c r="Q12" i="13"/>
  <c r="ES9" i="13"/>
  <c r="Q17" i="13"/>
  <c r="Q8" i="13"/>
  <c r="Q11" i="13"/>
  <c r="Q18" i="13"/>
  <c r="ES10" i="13"/>
  <c r="ES7" i="13"/>
  <c r="Q14" i="13"/>
  <c r="Q15" i="13"/>
  <c r="EU8" i="13"/>
  <c r="CF8" i="13"/>
  <c r="Y8" i="13" s="1"/>
  <c r="Q19" i="13"/>
  <c r="CH19" i="13"/>
  <c r="CH21" i="13"/>
  <c r="CH9" i="13"/>
  <c r="Q21" i="13"/>
  <c r="EU21" i="13"/>
  <c r="EU17" i="13"/>
  <c r="EU20" i="13"/>
  <c r="EU10" i="13"/>
  <c r="EU18" i="13"/>
  <c r="EU14" i="13"/>
  <c r="EU15" i="13"/>
  <c r="EU11" i="13"/>
  <c r="EV22" i="13"/>
  <c r="CI22" i="13"/>
  <c r="EU7" i="13"/>
  <c r="EU12" i="13"/>
  <c r="EU19" i="13"/>
  <c r="CH11" i="13"/>
  <c r="EU9" i="13"/>
  <c r="EU16" i="13"/>
  <c r="CH15" i="13"/>
  <c r="CL10" i="13" l="1"/>
  <c r="Y12" i="13"/>
  <c r="Y10" i="13"/>
  <c r="CL9" i="13"/>
  <c r="Y9" i="13"/>
  <c r="Y15" i="13"/>
  <c r="R14" i="13"/>
  <c r="S14" i="13" s="1"/>
  <c r="U14" i="13" s="1"/>
  <c r="R19" i="13"/>
  <c r="S19" i="13" s="1"/>
  <c r="R15" i="13"/>
  <c r="S15" i="13" s="1"/>
  <c r="R12" i="13"/>
  <c r="S12" i="13" s="1"/>
  <c r="U12" i="13" s="1"/>
  <c r="R21" i="13"/>
  <c r="S21" i="13" s="1"/>
  <c r="R17" i="13"/>
  <c r="S17" i="13" s="1"/>
  <c r="U17" i="13" s="1"/>
  <c r="R13" i="13"/>
  <c r="S13" i="13" s="1"/>
  <c r="U13" i="13" s="1"/>
  <c r="R10" i="13"/>
  <c r="S10" i="13" s="1"/>
  <c r="U10" i="13" s="1"/>
  <c r="R18" i="13"/>
  <c r="S18" i="13" s="1"/>
  <c r="R11" i="13"/>
  <c r="S11" i="13" s="1"/>
  <c r="U11" i="13" s="1"/>
  <c r="R9" i="13"/>
  <c r="S9" i="13" s="1"/>
  <c r="R16" i="13"/>
  <c r="S16" i="13" s="1"/>
  <c r="U16" i="13" s="1"/>
  <c r="R7" i="13"/>
  <c r="S7" i="13" s="1"/>
  <c r="R8" i="13"/>
  <c r="S8" i="13" s="1"/>
  <c r="U8" i="13" s="1"/>
  <c r="R20" i="13"/>
  <c r="S20" i="13" s="1"/>
  <c r="U20" i="13" s="1"/>
  <c r="ES22" i="13"/>
  <c r="CL7" i="13"/>
  <c r="CF22" i="13"/>
  <c r="Y22" i="13" l="1"/>
  <c r="CL22" i="13"/>
  <c r="M7" i="13"/>
  <c r="U7" i="13"/>
  <c r="S22" i="13" a="1"/>
  <c r="S22" i="13" s="1"/>
  <c r="N21" i="13"/>
  <c r="U21" i="13"/>
  <c r="M9" i="13"/>
  <c r="U9" i="13"/>
  <c r="M15" i="13"/>
  <c r="U15" i="13"/>
  <c r="N19" i="13"/>
  <c r="U19" i="13"/>
  <c r="U18" i="13"/>
  <c r="M13" i="13"/>
  <c r="M11" i="13"/>
  <c r="M14" i="13"/>
  <c r="M19" i="13"/>
  <c r="M16" i="13"/>
  <c r="M18" i="13"/>
  <c r="M12" i="13"/>
  <c r="R22" i="13"/>
  <c r="M10" i="13"/>
  <c r="M21" i="13"/>
  <c r="T21" i="13"/>
  <c r="T19" i="13"/>
  <c r="T20" i="13"/>
  <c r="N20" i="13"/>
  <c r="M20" i="13"/>
  <c r="M8" i="13"/>
  <c r="M17" i="13"/>
  <c r="T18" i="13" l="1"/>
  <c r="N18" i="13" s="1"/>
  <c r="T17" i="13"/>
  <c r="N17" i="13" s="1"/>
  <c r="T16" i="13"/>
  <c r="N16" i="13" s="1"/>
  <c r="T15" i="13"/>
  <c r="N15" i="13" s="1"/>
  <c r="T12" i="13"/>
  <c r="T8" i="13"/>
  <c r="T13" i="13"/>
  <c r="T14" i="13"/>
  <c r="T11" i="13"/>
  <c r="T10" i="13"/>
  <c r="N10" i="13" s="1"/>
  <c r="T9" i="13"/>
  <c r="N9" i="13" s="1"/>
  <c r="V21" i="13"/>
  <c r="M22" i="13"/>
  <c r="V16" i="13"/>
  <c r="V9" i="13"/>
  <c r="V17" i="13"/>
  <c r="V11" i="13"/>
  <c r="V19" i="13"/>
  <c r="V8" i="13"/>
  <c r="V15" i="13"/>
  <c r="V10" i="13"/>
  <c r="V7" i="13"/>
  <c r="V20" i="13"/>
  <c r="V12" i="13"/>
  <c r="T7" i="13"/>
  <c r="V13" i="13"/>
  <c r="V14" i="13"/>
  <c r="V18" i="13"/>
  <c r="N14" i="13" l="1"/>
  <c r="N13" i="13"/>
  <c r="N12" i="13"/>
  <c r="N11" i="13"/>
  <c r="N8" i="13"/>
  <c r="T22" i="13"/>
  <c r="N7" i="13"/>
  <c r="N22" i="13" l="1"/>
</calcChain>
</file>

<file path=xl/comments1.xml><?xml version="1.0" encoding="utf-8"?>
<comments xmlns="http://schemas.openxmlformats.org/spreadsheetml/2006/main">
  <authors>
    <author>Friedrich, Jan</author>
  </authors>
  <commentList>
    <comment ref="Q22" authorId="0" shapeId="0">
      <text>
        <r>
          <rPr>
            <b/>
            <sz val="9"/>
            <color indexed="81"/>
            <rFont val="Segoe UI"/>
            <family val="2"/>
          </rPr>
          <t>Friedrich, Jan:</t>
        </r>
        <r>
          <rPr>
            <sz val="9"/>
            <color indexed="81"/>
            <rFont val="Segoe UI"/>
            <family val="2"/>
          </rPr>
          <t xml:space="preserve">
Summe der eindeutig (gemäß Nachkommastelle) zu vergebenden Restsitze.</t>
        </r>
      </text>
    </comment>
    <comment ref="R22" authorId="0" shapeId="0">
      <text>
        <r>
          <rPr>
            <b/>
            <sz val="9"/>
            <color indexed="81"/>
            <rFont val="Segoe UI"/>
            <family val="2"/>
          </rPr>
          <t>Friedrich, Jan:</t>
        </r>
        <r>
          <rPr>
            <sz val="9"/>
            <color indexed="81"/>
            <rFont val="Segoe UI"/>
            <family val="2"/>
          </rPr>
          <t xml:space="preserve">
Anzahl der am Patt beteiligten.</t>
        </r>
      </text>
    </comment>
    <comment ref="S22" authorId="0" shapeId="0">
      <text>
        <r>
          <rPr>
            <b/>
            <sz val="9"/>
            <color indexed="81"/>
            <rFont val="Segoe UI"/>
            <family val="2"/>
          </rPr>
          <t>Friedrich, Jan:</t>
        </r>
        <r>
          <rPr>
            <sz val="9"/>
            <color indexed="81"/>
            <rFont val="Segoe UI"/>
            <family val="2"/>
          </rPr>
          <t xml:space="preserve">
Anzahl der erfolgreichen Lose (falls gelost werden soll)</t>
        </r>
      </text>
    </comment>
  </commentList>
</comments>
</file>

<file path=xl/comments2.xml><?xml version="1.0" encoding="utf-8"?>
<comments xmlns="http://schemas.openxmlformats.org/spreadsheetml/2006/main">
  <authors>
    <author>Friedrich, Jan</author>
  </authors>
  <commentList>
    <comment ref="R22" authorId="0" shapeId="0">
      <text>
        <r>
          <rPr>
            <b/>
            <sz val="9"/>
            <color indexed="81"/>
            <rFont val="Segoe UI"/>
            <family val="2"/>
          </rPr>
          <t>Friedrich, Jan:</t>
        </r>
        <r>
          <rPr>
            <sz val="9"/>
            <color indexed="81"/>
            <rFont val="Segoe UI"/>
            <family val="2"/>
          </rPr>
          <t xml:space="preserve">
Summe der eindeutig (gemäß Nachkommastelle) zu vergebenden Restsitze.</t>
        </r>
      </text>
    </comment>
    <comment ref="S22" authorId="0" shapeId="0">
      <text>
        <r>
          <rPr>
            <b/>
            <sz val="9"/>
            <color indexed="81"/>
            <rFont val="Segoe UI"/>
            <family val="2"/>
          </rPr>
          <t>Friedrich, Jan:</t>
        </r>
        <r>
          <rPr>
            <sz val="9"/>
            <color indexed="81"/>
            <rFont val="Segoe UI"/>
            <family val="2"/>
          </rPr>
          <t xml:space="preserve">
Anzahl der am Patt beteiligten.</t>
        </r>
      </text>
    </comment>
    <comment ref="T22" authorId="0" shapeId="0">
      <text>
        <r>
          <rPr>
            <b/>
            <sz val="9"/>
            <color indexed="81"/>
            <rFont val="Segoe UI"/>
            <family val="2"/>
          </rPr>
          <t>Friedrich, Jan:</t>
        </r>
        <r>
          <rPr>
            <sz val="9"/>
            <color indexed="81"/>
            <rFont val="Segoe UI"/>
            <family val="2"/>
          </rPr>
          <t xml:space="preserve">
Anzahl der erfolgreichen Lose (falls gelost werden soll)</t>
        </r>
      </text>
    </comment>
  </commentList>
</comments>
</file>

<file path=xl/sharedStrings.xml><?xml version="1.0" encoding="utf-8"?>
<sst xmlns="http://schemas.openxmlformats.org/spreadsheetml/2006/main" count="553" uniqueCount="257">
  <si>
    <t>Partei/Wählergruppe</t>
  </si>
  <si>
    <t>CSU</t>
  </si>
  <si>
    <t>GRÜNE</t>
  </si>
  <si>
    <t>AfD</t>
  </si>
  <si>
    <t>SPD</t>
  </si>
  <si>
    <t>FDP</t>
  </si>
  <si>
    <t>Größe Hauptorgan</t>
  </si>
  <si>
    <t>Ausschussgröße</t>
  </si>
  <si>
    <t>Restsitz</t>
  </si>
  <si>
    <t>Patt</t>
  </si>
  <si>
    <t>Sitze</t>
  </si>
  <si>
    <t>R1</t>
  </si>
  <si>
    <t>R3</t>
  </si>
  <si>
    <t>R5</t>
  </si>
  <si>
    <t>R7</t>
  </si>
  <si>
    <t>R9</t>
  </si>
  <si>
    <t>R11</t>
  </si>
  <si>
    <t>R13</t>
  </si>
  <si>
    <t>R15</t>
  </si>
  <si>
    <t>R17</t>
  </si>
  <si>
    <t>R19</t>
  </si>
  <si>
    <t>R21</t>
  </si>
  <si>
    <t>R23</t>
  </si>
  <si>
    <t>R25</t>
  </si>
  <si>
    <t>R27</t>
  </si>
  <si>
    <t>R29</t>
  </si>
  <si>
    <t>R31</t>
  </si>
  <si>
    <t>R33</t>
  </si>
  <si>
    <t>R35</t>
  </si>
  <si>
    <t>R37</t>
  </si>
  <si>
    <t>SP1</t>
  </si>
  <si>
    <t>SP3</t>
  </si>
  <si>
    <t>SP5</t>
  </si>
  <si>
    <t>SP7</t>
  </si>
  <si>
    <t>SP9</t>
  </si>
  <si>
    <t>SP11</t>
  </si>
  <si>
    <t>SP13</t>
  </si>
  <si>
    <t>SP15</t>
  </si>
  <si>
    <t>SP17</t>
  </si>
  <si>
    <t>SP19</t>
  </si>
  <si>
    <t>SP21</t>
  </si>
  <si>
    <t>SP23</t>
  </si>
  <si>
    <t>SP25</t>
  </si>
  <si>
    <t>SP27</t>
  </si>
  <si>
    <t>SP29</t>
  </si>
  <si>
    <t>SP31</t>
  </si>
  <si>
    <t>SP33</t>
  </si>
  <si>
    <t>SP35</t>
  </si>
  <si>
    <t>SP37</t>
  </si>
  <si>
    <t>Quotienten</t>
  </si>
  <si>
    <t>Rangzahlen</t>
  </si>
  <si>
    <t>Hare/Niemeyer</t>
  </si>
  <si>
    <t>d'Hondt</t>
  </si>
  <si>
    <t>Quoten-
kriterium</t>
  </si>
  <si>
    <t>Pattauflösung</t>
  </si>
  <si>
    <t>Stimmen</t>
  </si>
  <si>
    <t>Los-Chance</t>
  </si>
  <si>
    <t>Proporzgenaue Zahl Ausschuss</t>
  </si>
  <si>
    <t>Sitze im Hauptorgan</t>
  </si>
  <si>
    <t>:3</t>
  </si>
  <si>
    <t>:5</t>
  </si>
  <si>
    <t>:7</t>
  </si>
  <si>
    <t>:9</t>
  </si>
  <si>
    <t>:11</t>
  </si>
  <si>
    <t>:13</t>
  </si>
  <si>
    <t>:15</t>
  </si>
  <si>
    <t>:17</t>
  </si>
  <si>
    <t>:19</t>
  </si>
  <si>
    <t>:21</t>
  </si>
  <si>
    <t>:23</t>
  </si>
  <si>
    <t>:25</t>
  </si>
  <si>
    <t>:27</t>
  </si>
  <si>
    <t>:29</t>
  </si>
  <si>
    <t>:31</t>
  </si>
  <si>
    <t>:33</t>
  </si>
  <si>
    <t>:35</t>
  </si>
  <si>
    <t>:37</t>
  </si>
  <si>
    <t>S ganz</t>
  </si>
  <si>
    <t>S Rest</t>
  </si>
  <si>
    <t>Rng Rest</t>
  </si>
  <si>
    <t>Los Chance</t>
  </si>
  <si>
    <t>Stimmen/Gelost</t>
  </si>
  <si>
    <t>Pattgewinn</t>
  </si>
  <si>
    <t>Patt Auflösung</t>
  </si>
  <si>
    <t>:1</t>
  </si>
  <si>
    <t>QK verletzt</t>
  </si>
  <si>
    <t>:2</t>
  </si>
  <si>
    <t>:4</t>
  </si>
  <si>
    <t>:6</t>
  </si>
  <si>
    <t>:8</t>
  </si>
  <si>
    <t>:10</t>
  </si>
  <si>
    <t>:12</t>
  </si>
  <si>
    <t>:14</t>
  </si>
  <si>
    <t>:16</t>
  </si>
  <si>
    <t>:18</t>
  </si>
  <si>
    <t>R2</t>
  </si>
  <si>
    <t>R4</t>
  </si>
  <si>
    <t>R6</t>
  </si>
  <si>
    <t>R8</t>
  </si>
  <si>
    <t>R10</t>
  </si>
  <si>
    <t>R12</t>
  </si>
  <si>
    <t>R14</t>
  </si>
  <si>
    <t>R16</t>
  </si>
  <si>
    <t>R18</t>
  </si>
  <si>
    <t>SP2</t>
  </si>
  <si>
    <t>SP4</t>
  </si>
  <si>
    <t>SP6</t>
  </si>
  <si>
    <t>SP8</t>
  </si>
  <si>
    <t>SP10</t>
  </si>
  <si>
    <t>SP12</t>
  </si>
  <si>
    <t>SP14</t>
  </si>
  <si>
    <t>SP16</t>
  </si>
  <si>
    <t>SP18</t>
  </si>
  <si>
    <t>Patt?</t>
  </si>
  <si>
    <t>Stimmen Gelost</t>
  </si>
  <si>
    <t>Zulässig</t>
  </si>
  <si>
    <t>H/N</t>
  </si>
  <si>
    <t>SL/S</t>
  </si>
  <si>
    <t>d'H</t>
  </si>
  <si>
    <t>Partei Wählergruppe</t>
  </si>
  <si>
    <t>FREIE WÄHLER</t>
  </si>
  <si>
    <t>Gruppe / Gemeinschaft 1</t>
  </si>
  <si>
    <t>Gruppe / Gemeinschaft 2</t>
  </si>
  <si>
    <t>Gruppe / Gemeinschaft 3</t>
  </si>
  <si>
    <t>Gruppe / Gemeinschaft 4</t>
  </si>
  <si>
    <t>Gruppe / Gemeinschaft 5</t>
  </si>
  <si>
    <t>Gruppe / Gemeinschaft 6</t>
  </si>
  <si>
    <t>Gruppe / Gemeinschaft 7</t>
  </si>
  <si>
    <t>Partei</t>
  </si>
  <si>
    <t>Testfall 1</t>
  </si>
  <si>
    <t>Testfall 2</t>
  </si>
  <si>
    <t>Testfall 3</t>
  </si>
  <si>
    <t>Testfall 4</t>
  </si>
  <si>
    <t>Testfall 5</t>
  </si>
  <si>
    <t>Testfall 6</t>
  </si>
  <si>
    <t>Testfall 7</t>
  </si>
  <si>
    <t>Testfall 8</t>
  </si>
  <si>
    <t>Testfall 9</t>
  </si>
  <si>
    <t>Testfall 10</t>
  </si>
  <si>
    <t>Testfall 11</t>
  </si>
  <si>
    <t>Testfall 12</t>
  </si>
  <si>
    <t>FW</t>
  </si>
  <si>
    <t>Gruppe 1</t>
  </si>
  <si>
    <t>Gruppe 2</t>
  </si>
  <si>
    <t>Gruppe 3</t>
  </si>
  <si>
    <t>Gruppe 4</t>
  </si>
  <si>
    <t>Gruppe 5</t>
  </si>
  <si>
    <t>Gruppe 6</t>
  </si>
  <si>
    <t>Gruppe 7</t>
  </si>
  <si>
    <t>Befund Peter</t>
  </si>
  <si>
    <t>ok</t>
  </si>
  <si>
    <t>Summe</t>
  </si>
  <si>
    <t>---</t>
  </si>
  <si>
    <t>Zulässigkeit Verfahren</t>
  </si>
  <si>
    <t>Schritt 1a</t>
  </si>
  <si>
    <t>Schritt 1c</t>
  </si>
  <si>
    <t>Bedienungsanleitung</t>
  </si>
  <si>
    <t>Doppelklicken auf Blatt, um PDF zu öffnen…</t>
  </si>
  <si>
    <r>
      <t xml:space="preserve">    </t>
    </r>
    <r>
      <rPr>
        <b/>
        <sz val="11"/>
        <color theme="1"/>
        <rFont val="Calibri"/>
        <family val="2"/>
        <scheme val="minor"/>
      </rPr>
      <t>Ausschuss-Kalkulator für bayer. Kommunalorgane</t>
    </r>
    <r>
      <rPr>
        <sz val="11"/>
        <color theme="1"/>
        <rFont val="Calibri"/>
        <family val="2"/>
        <scheme val="minor"/>
      </rPr>
      <t xml:space="preserve">
    Copyright (C) 2019  Jan Friedrich und Peter Raithel
    (Hochschullehrer an der Hochschule für den öffentlichen Dienst in Bayern)
    This program is free software: you can redistribute it and/or modify
    it under the terms of the GNU General Public License as published by
    the Free Software Foundation, either version 3 of the License, or
    (at your option) any later version.
    This program is distributed in the hope that it will be useful,
    but WITHOUT ANY WARRANTY; without even the implied warranty of
    MERCHANTABILITY or FITNESS FOR A PARTICULAR PURPOSE.  See the
    GNU General Public License for more details.
    You should have received a copy of the GNU General Public License
    along with this program.  If not, see https://www.gnu.org/licenses.</t>
    </r>
  </si>
  <si>
    <t>Bei Fragen und zur Meldung von Fehlern wenden Sie sich bitte an verwaltungsinformatik@aiv.hfoed.de</t>
  </si>
  <si>
    <t>Version</t>
  </si>
  <si>
    <t>Veröffentlicht</t>
  </si>
  <si>
    <t>Bemerkung</t>
  </si>
  <si>
    <t>2.0</t>
  </si>
  <si>
    <t>Erste öffentliche Version</t>
  </si>
  <si>
    <t>2.0.1</t>
  </si>
  <si>
    <t>Erweiterung von 13 auf 15 Zeilen</t>
  </si>
  <si>
    <t>Linke</t>
  </si>
  <si>
    <t>ÖDP</t>
  </si>
  <si>
    <t>Bayernpartei</t>
  </si>
  <si>
    <t>Franken</t>
  </si>
  <si>
    <t>Tierschutzpartei</t>
  </si>
  <si>
    <t>Zusammensetzung Hauptorgan
(ohne Ausschussgmeinschaften)</t>
  </si>
  <si>
    <t>Sicher
vertreten?</t>
  </si>
  <si>
    <t>AG?</t>
  </si>
  <si>
    <t>AG2</t>
  </si>
  <si>
    <t>AG1</t>
  </si>
  <si>
    <t>AG3</t>
  </si>
  <si>
    <t>AG4</t>
  </si>
  <si>
    <t>Name</t>
  </si>
  <si>
    <t>Rang</t>
  </si>
  <si>
    <t>Zeile</t>
  </si>
  <si>
    <t>Zusammensetzung Hauptorgan
(mit Ausschussgemeinschaften)</t>
  </si>
  <si>
    <t>AG</t>
  </si>
  <si>
    <t>NameNeu</t>
  </si>
  <si>
    <t>QK_Min</t>
  </si>
  <si>
    <t>QK_Max</t>
  </si>
  <si>
    <t>SicherDrin?</t>
  </si>
  <si>
    <t>NameAlt</t>
  </si>
  <si>
    <t>Name_Hilf</t>
  </si>
  <si>
    <t>AGN_Neu</t>
  </si>
  <si>
    <t>AGN_Alt</t>
  </si>
  <si>
    <t>SuchBeginn</t>
  </si>
  <si>
    <t>SuchKlammer</t>
  </si>
  <si>
    <t>AGName</t>
  </si>
  <si>
    <t>SItzeImHO_Hilf</t>
  </si>
  <si>
    <t>Optimierungsziel</t>
  </si>
  <si>
    <t>Saint-Lague/Schepers</t>
  </si>
  <si>
    <t>Minimierung der größten Überrepräsentation (kein Kleiner darf zu stark vertreten sein)</t>
  </si>
  <si>
    <t>Minimierung der Summe der ABSOLUTEN Abweichungen vom Idealanspruch</t>
  </si>
  <si>
    <t xml:space="preserve">Minimierung der Summe der quadr. RELATIVEN Abweichungen vom Idealanspruch </t>
  </si>
  <si>
    <t>AZ_dH</t>
  </si>
  <si>
    <t>AZ_HN</t>
  </si>
  <si>
    <t>AZ_SLS</t>
  </si>
  <si>
    <t>Ideal</t>
  </si>
  <si>
    <t>AZ</t>
  </si>
  <si>
    <t>Status</t>
  </si>
  <si>
    <t>LosCh</t>
  </si>
  <si>
    <t>Tagen Sie hier das amtliche Wahlergebnis ein. Wenn Sie zur Pattauflösung auf die Stimmenanzahl zurückgreifen wollen, muss diese hier auch eingetragen werden.</t>
  </si>
  <si>
    <t>Zufall</t>
  </si>
  <si>
    <t>Verlosung</t>
  </si>
  <si>
    <t>Stimmenzahl</t>
  </si>
  <si>
    <t>StRang</t>
  </si>
  <si>
    <t>StimmenSitz</t>
  </si>
  <si>
    <t>SitzeHO</t>
  </si>
  <si>
    <t>StimmenZul</t>
  </si>
  <si>
    <t>(1) Wahlergebnis</t>
  </si>
  <si>
    <t>(2) Verschiebungen (opt.)</t>
  </si>
  <si>
    <t>(3) Ausschussgröße</t>
  </si>
  <si>
    <t>(4) Ausschussgemeinschaften (opt.)</t>
  </si>
  <si>
    <t>(5) Verfahrenswahl</t>
  </si>
  <si>
    <t>(6) Pattauflösung</t>
  </si>
  <si>
    <t>QuotKrit</t>
  </si>
  <si>
    <t>Plus</t>
  </si>
  <si>
    <t>Minus</t>
  </si>
  <si>
    <t>Geben Sie oben die Ausschussgröße an. Die Tabelle zeigt das  Spiegelbild, das Quotenkriterium und berechnet, welche Parteien/Gruppierungen bei der gegebenen Ausschussgröße SICHER im Ausschuss vertreten sind.</t>
  </si>
  <si>
    <t>Hier können Sie Änderungen der Stärkeverhältnisse im Laufe der Wahlzeit eingetragen werden, beispielsweise Fraktionswechsel oder auch Austritt und Tätigkeit als Einzelgänger. Der Name einer Partei kann auch "überschrieben" werden.
Austritte sind bei "Minus", Eintritte bei "Plus" zu definieren. Die Gesamtzahl aller Sitze muss unverändert bleiben.</t>
  </si>
  <si>
    <t>Alle Parteien/Gruppierunge/Einzelgänger, die nicht SICHER im Ausschuss vertreten sind, können hier als Mitglied einer Ausschussgemeinschaft definiert werden. Somit hat jeder, der THEORETISCH einen Ausschusssitz verlieren könnte das Recht, selbst an einer Ausschussgemeinschaft teilzunehmen.</t>
  </si>
  <si>
    <t>Die Verfahren sind inspiriert von der Rechtsprechung des VGH dahingehend modifiziert, dass das Quotenkriterium zunächst als Grundvoraussetzung angenommen wird. Die Verfahren werden dann erst in zweiter Instanz herangezogen, um zu entscheiden, wer noch EINEN WEITEREN Sitz erhält.</t>
  </si>
  <si>
    <t>Gesamt</t>
  </si>
  <si>
    <t>2.1</t>
  </si>
  <si>
    <t>Anpassung auf VGH-Rechtsprechung zu Ags; +Prototypischer Kalkulator</t>
  </si>
  <si>
    <t>Zur Auflösung von Pattsituationen kann nur dann auf die Stimmenzahl zugegriffen werden, wenn ausschließlich Parteien beteiligt sind, die seit der Wahl unverändert sind (also insbesondere keine Ags). Gelost werden kann immer (Taste F9).</t>
  </si>
  <si>
    <t>Müller, Herr</t>
  </si>
  <si>
    <t>LINKE</t>
  </si>
  <si>
    <t>FRANKEN</t>
  </si>
  <si>
    <t>MIN</t>
  </si>
  <si>
    <t>MAX</t>
  </si>
  <si>
    <t>Ohne AG</t>
  </si>
  <si>
    <r>
      <t>Sainte-Lagu</t>
    </r>
    <r>
      <rPr>
        <b/>
        <sz val="11"/>
        <rFont val="Calibri"/>
        <family val="2"/>
      </rPr>
      <t>ë</t>
    </r>
    <r>
      <rPr>
        <b/>
        <sz val="11"/>
        <rFont val="Calibri"/>
        <family val="2"/>
        <scheme val="minor"/>
      </rPr>
      <t>/Schepers</t>
    </r>
  </si>
  <si>
    <t>Info</t>
  </si>
  <si>
    <t>H/N
ohne</t>
  </si>
  <si>
    <t>SL/S
ohne</t>
  </si>
  <si>
    <t>d'H
ohne</t>
  </si>
  <si>
    <t>Anspruch auf</t>
  </si>
  <si>
    <t>Mayer, Frau</t>
  </si>
  <si>
    <t>Schritt 2a</t>
  </si>
  <si>
    <t>Schritt 2c</t>
  </si>
  <si>
    <t>Schritt 1b</t>
  </si>
  <si>
    <t>3a</t>
  </si>
  <si>
    <t>ç</t>
  </si>
  <si>
    <t>é</t>
  </si>
  <si>
    <r>
      <rPr>
        <b/>
        <sz val="11"/>
        <color theme="0"/>
        <rFont val="Wingdings"/>
        <charset val="2"/>
      </rPr>
      <t>ç</t>
    </r>
    <r>
      <rPr>
        <b/>
        <i/>
        <sz val="11"/>
        <color theme="0"/>
        <rFont val="Calibri"/>
        <family val="2"/>
        <scheme val="minor"/>
      </rPr>
      <t>Schritt 3b</t>
    </r>
  </si>
  <si>
    <t>+++ In den Spalten E bis EW dürfen die Formeln nicht verändert werden, da sonst der Kalkulator nicht mehr richtig rechnet+++</t>
  </si>
  <si>
    <t>+++ In den Spalten B bis EY dürfen die Formeln nicht verändert werden, da sonst der Kalkulator nicht mehr richtig rechnet+++</t>
  </si>
  <si>
    <t>Verlust letzter Sitz?</t>
  </si>
  <si>
    <t>Verwaltungsinformatiker können sowas.
Bilden Sie Verwaltungsinformatiker aus!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</si>
</sst>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64" formatCode="0.0%"/>
    <numFmt numFmtId="165" formatCode="0;;"/>
    <numFmt numFmtId="166" formatCode="0&quot;.&quot;"/>
    <numFmt numFmtId="167" formatCode="&quot;:&quot;0"/>
    <numFmt numFmtId="168" formatCode=".0000"/>
    <numFmt numFmtId="169" formatCode=";;;"/>
    <numFmt numFmtId="170" formatCode="#.00"/>
    <numFmt numFmtId="171" formatCode="General;;"/>
    <numFmt numFmtId="172" formatCode="0.00;;"/>
    <numFmt numFmtId="173" formatCode="0.0000"/>
    <numFmt numFmtId="174" formatCode="0.0000;;&quot;----&quot;"/>
    <numFmt numFmtId="175" formatCode="#\ ??/??;;"/>
    <numFmt numFmtId="176" formatCode="0.0000;;"/>
    <numFmt numFmtId="177" formatCode="General\ &quot;Sitze&quot;"/>
    <numFmt numFmtId="178" formatCode="#\ &quot;|&quot;\ ?/?"/>
    <numFmt numFmtId="179" formatCode="#\ ?/?;;"/>
  </numFmts>
  <fonts count="2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i/>
      <sz val="11"/>
      <color rgb="FF7F7F7F"/>
      <name val="Calibri"/>
      <family val="2"/>
      <scheme val="minor"/>
    </font>
    <font>
      <sz val="11"/>
      <color theme="0"/>
      <name val="Calibri"/>
      <family val="2"/>
      <scheme val="minor"/>
    </font>
    <font>
      <sz val="9"/>
      <color indexed="81"/>
      <name val="Segoe UI"/>
      <family val="2"/>
    </font>
    <font>
      <b/>
      <sz val="9"/>
      <color indexed="81"/>
      <name val="Segoe UI"/>
      <family val="2"/>
    </font>
    <font>
      <b/>
      <sz val="11"/>
      <name val="Calibri"/>
      <family val="2"/>
      <scheme val="minor"/>
    </font>
    <font>
      <b/>
      <sz val="11"/>
      <name val="Calibri"/>
      <family val="2"/>
    </font>
    <font>
      <sz val="11"/>
      <color rgb="FFFFFF00"/>
      <name val="Calibri"/>
      <family val="2"/>
      <scheme val="minor"/>
    </font>
    <font>
      <b/>
      <sz val="11"/>
      <color rgb="FFFFFF00"/>
      <name val="Calibri"/>
      <family val="2"/>
      <scheme val="minor"/>
    </font>
    <font>
      <b/>
      <sz val="11"/>
      <color rgb="FF0070C0"/>
      <name val="Calibri"/>
      <family val="2"/>
      <scheme val="minor"/>
    </font>
    <font>
      <b/>
      <i/>
      <sz val="11"/>
      <color theme="0"/>
      <name val="Calibri"/>
      <family val="2"/>
      <scheme val="minor"/>
    </font>
    <font>
      <u/>
      <sz val="11"/>
      <color theme="10"/>
      <name val="Calibri"/>
      <family val="2"/>
      <scheme val="minor"/>
    </font>
    <font>
      <b/>
      <u/>
      <sz val="11"/>
      <color theme="10"/>
      <name val="Calibri"/>
      <family val="2"/>
      <scheme val="minor"/>
    </font>
    <font>
      <sz val="11"/>
      <color theme="1"/>
      <name val="Calibri"/>
      <family val="2"/>
      <scheme val="minor"/>
    </font>
    <font>
      <b/>
      <i/>
      <sz val="11"/>
      <color rgb="FF7F7F7F"/>
      <name val="Calibri"/>
      <family val="2"/>
      <scheme val="minor"/>
    </font>
    <font>
      <b/>
      <sz val="11"/>
      <color rgb="FF3F3F76"/>
      <name val="Calibri"/>
      <family val="2"/>
      <scheme val="minor"/>
    </font>
    <font>
      <b/>
      <sz val="11"/>
      <color rgb="FF3F3F3F"/>
      <name val="Calibri"/>
      <family val="2"/>
      <scheme val="minor"/>
    </font>
    <font>
      <i/>
      <sz val="10"/>
      <color rgb="FF7F7F7F"/>
      <name val="Calibri"/>
      <family val="2"/>
      <scheme val="minor"/>
    </font>
    <font>
      <sz val="10"/>
      <color theme="1"/>
      <name val="Calibri"/>
      <family val="2"/>
      <scheme val="minor"/>
    </font>
    <font>
      <sz val="11"/>
      <color theme="1"/>
      <name val="Wingdings 3"/>
      <family val="1"/>
      <charset val="2"/>
    </font>
    <font>
      <b/>
      <sz val="11"/>
      <color rgb="FF3F3F3F"/>
      <name val="Calibri"/>
      <family val="2"/>
      <scheme val="minor"/>
    </font>
    <font>
      <sz val="11"/>
      <color rgb="FF0070C0"/>
      <name val="Wingdings"/>
      <charset val="2"/>
    </font>
    <font>
      <sz val="11"/>
      <color rgb="FF0070C0"/>
      <name val="Calibri"/>
      <family val="2"/>
      <scheme val="minor"/>
    </font>
    <font>
      <b/>
      <sz val="11"/>
      <color theme="0"/>
      <name val="Wingdings"/>
      <charset val="2"/>
    </font>
    <font>
      <b/>
      <sz val="20"/>
      <color theme="1"/>
      <name val="Calibri"/>
      <family val="2"/>
      <scheme val="minor"/>
    </font>
  </fonts>
  <fills count="14">
    <fill>
      <patternFill patternType="none"/>
    </fill>
    <fill>
      <patternFill patternType="gray125"/>
    </fill>
    <fill>
      <patternFill patternType="solid">
        <fgColor theme="4"/>
        <bgColor theme="4"/>
      </patternFill>
    </fill>
    <fill>
      <patternFill patternType="solid">
        <fgColor theme="0" tint="-0.14999847407452621"/>
        <bgColor indexed="64"/>
      </patternFill>
    </fill>
    <fill>
      <patternFill patternType="solid">
        <fgColor theme="5"/>
        <bgColor theme="5"/>
      </patternFill>
    </fill>
    <fill>
      <patternFill patternType="solid">
        <fgColor theme="8"/>
        <bgColor theme="8"/>
      </patternFill>
    </fill>
    <fill>
      <patternFill patternType="solid">
        <fgColor theme="6"/>
        <bgColor theme="6"/>
      </patternFill>
    </fill>
    <fill>
      <patternFill patternType="solid">
        <fgColor rgb="FFFF0000"/>
        <bgColor indexed="64"/>
      </patternFill>
    </fill>
    <fill>
      <patternFill patternType="solid">
        <fgColor rgb="FF0070C0"/>
        <bgColor indexed="64"/>
      </patternFill>
    </fill>
    <fill>
      <patternFill patternType="solid">
        <fgColor theme="0" tint="-4.9989318521683403E-2"/>
        <bgColor indexed="64"/>
      </patternFill>
    </fill>
    <fill>
      <patternFill patternType="solid">
        <fgColor theme="1"/>
        <bgColor theme="1"/>
      </patternFill>
    </fill>
    <fill>
      <patternFill patternType="solid">
        <fgColor rgb="FFF2F2F2"/>
        <bgColor indexed="64"/>
      </patternFill>
    </fill>
    <fill>
      <patternFill patternType="solid">
        <fgColor theme="0" tint="-0.14999847407452621"/>
        <bgColor theme="0" tint="-0.14999847407452621"/>
      </patternFill>
    </fill>
    <fill>
      <gradientFill degree="90">
        <stop position="0">
          <color theme="7" tint="0.59999389629810485"/>
        </stop>
        <stop position="0.5">
          <color theme="0"/>
        </stop>
        <stop position="1">
          <color theme="7" tint="0.59999389629810485"/>
        </stop>
      </gradientFill>
    </fill>
  </fills>
  <borders count="36">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theme="1"/>
      </top>
      <bottom/>
      <diagonal/>
    </border>
    <border>
      <left style="medium">
        <color indexed="64"/>
      </left>
      <right/>
      <top style="medium">
        <color indexed="64"/>
      </top>
      <bottom style="medium">
        <color theme="1"/>
      </bottom>
      <diagonal/>
    </border>
    <border>
      <left/>
      <right style="medium">
        <color indexed="64"/>
      </right>
      <top style="medium">
        <color indexed="64"/>
      </top>
      <bottom style="medium">
        <color theme="1"/>
      </bottom>
      <diagonal/>
    </border>
    <border>
      <left/>
      <right/>
      <top style="medium">
        <color indexed="64"/>
      </top>
      <bottom style="medium">
        <color theme="1"/>
      </bottom>
      <diagonal/>
    </border>
    <border>
      <left style="medium">
        <color indexed="64"/>
      </left>
      <right style="medium">
        <color indexed="64"/>
      </right>
      <top style="medium">
        <color indexed="64"/>
      </top>
      <bottom style="medium">
        <color theme="1"/>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auto="1"/>
      </top>
      <bottom style="medium">
        <color auto="1"/>
      </bottom>
      <diagonal/>
    </border>
    <border>
      <left style="thin">
        <color indexed="64"/>
      </left>
      <right style="thick">
        <color indexed="64"/>
      </right>
      <top style="medium">
        <color indexed="64"/>
      </top>
      <bottom/>
      <diagonal/>
    </border>
    <border>
      <left style="thin">
        <color indexed="64"/>
      </left>
      <right style="thick">
        <color indexed="64"/>
      </right>
      <top/>
      <bottom/>
      <diagonal/>
    </border>
    <border>
      <left style="thin">
        <color indexed="64"/>
      </left>
      <right style="thick">
        <color indexed="64"/>
      </right>
      <top/>
      <bottom style="medium">
        <color indexed="64"/>
      </bottom>
      <diagonal/>
    </border>
    <border>
      <left style="thin">
        <color rgb="FF3F3F3F"/>
      </left>
      <right style="thin">
        <color rgb="FF3F3F3F"/>
      </right>
      <top style="thin">
        <color rgb="FF3F3F3F"/>
      </top>
      <bottom style="thin">
        <color rgb="FF3F3F3F"/>
      </bottom>
      <diagonal/>
    </border>
    <border>
      <left/>
      <right/>
      <top/>
      <bottom style="thin">
        <color theme="6" tint="0.39997558519241921"/>
      </bottom>
      <diagonal/>
    </border>
    <border>
      <left style="medium">
        <color indexed="64"/>
      </left>
      <right/>
      <top/>
      <bottom style="thin">
        <color theme="6" tint="0.39997558519241921"/>
      </bottom>
      <diagonal/>
    </border>
    <border>
      <left/>
      <right style="medium">
        <color indexed="64"/>
      </right>
      <top/>
      <bottom style="thin">
        <color theme="6" tint="0.39997558519241921"/>
      </bottom>
      <diagonal/>
    </border>
    <border>
      <left style="medium">
        <color indexed="64"/>
      </left>
      <right/>
      <top style="thin">
        <color theme="6" tint="0.39997558519241921"/>
      </top>
      <bottom style="medium">
        <color indexed="64"/>
      </bottom>
      <diagonal/>
    </border>
    <border>
      <left/>
      <right/>
      <top style="thin">
        <color theme="6" tint="0.39997558519241921"/>
      </top>
      <bottom style="medium">
        <color indexed="64"/>
      </bottom>
      <diagonal/>
    </border>
    <border>
      <left/>
      <right style="medium">
        <color indexed="64"/>
      </right>
      <top style="thin">
        <color theme="6" tint="0.39997558519241921"/>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s>
  <cellStyleXfs count="5">
    <xf numFmtId="0" fontId="0" fillId="0" borderId="0"/>
    <xf numFmtId="9" fontId="1" fillId="0" borderId="0" applyFont="0" applyFill="0" applyBorder="0" applyAlignment="0" applyProtection="0"/>
    <xf numFmtId="0" fontId="4" fillId="0" borderId="0" applyNumberFormat="0" applyFill="0" applyBorder="0" applyAlignment="0" applyProtection="0"/>
    <xf numFmtId="0" fontId="12" fillId="13" borderId="0" applyBorder="0" applyAlignment="0">
      <protection locked="0"/>
    </xf>
    <xf numFmtId="0" fontId="14" fillId="0" borderId="0" applyNumberFormat="0" applyFill="0" applyBorder="0" applyAlignment="0" applyProtection="0"/>
  </cellStyleXfs>
  <cellXfs count="237">
    <xf numFmtId="0" fontId="0" fillId="0" borderId="0" xfId="0"/>
    <xf numFmtId="0" fontId="0" fillId="3" borderId="0" xfId="0" applyFill="1"/>
    <xf numFmtId="0" fontId="0" fillId="0" borderId="0" xfId="0" applyAlignment="1">
      <alignment vertical="center" wrapText="1"/>
    </xf>
    <xf numFmtId="0" fontId="0" fillId="3" borderId="0" xfId="0" applyFill="1" applyProtection="1"/>
    <xf numFmtId="0" fontId="0" fillId="0" borderId="0" xfId="0" applyProtection="1"/>
    <xf numFmtId="0" fontId="0" fillId="3" borderId="0" xfId="0" applyFill="1" applyBorder="1" applyProtection="1"/>
    <xf numFmtId="167" fontId="2" fillId="2" borderId="15" xfId="0" applyNumberFormat="1" applyFont="1" applyFill="1" applyBorder="1" applyAlignment="1" applyProtection="1">
      <alignment horizontal="center" wrapText="1"/>
    </xf>
    <xf numFmtId="167" fontId="2" fillId="4" borderId="15" xfId="0" applyNumberFormat="1" applyFont="1" applyFill="1" applyBorder="1" applyAlignment="1" applyProtection="1">
      <alignment wrapText="1"/>
    </xf>
    <xf numFmtId="0" fontId="0" fillId="3" borderId="0" xfId="0" applyFill="1" applyAlignment="1" applyProtection="1">
      <alignment wrapText="1"/>
    </xf>
    <xf numFmtId="0" fontId="10" fillId="0" borderId="0" xfId="0" applyFont="1" applyFill="1" applyBorder="1" applyAlignment="1" applyProtection="1">
      <alignment wrapText="1"/>
    </xf>
    <xf numFmtId="0" fontId="2" fillId="0" borderId="7" xfId="0" applyFont="1" applyFill="1" applyBorder="1" applyAlignment="1" applyProtection="1">
      <alignment wrapText="1"/>
    </xf>
    <xf numFmtId="0" fontId="2" fillId="0" borderId="8" xfId="0" applyFont="1" applyFill="1" applyBorder="1" applyAlignment="1" applyProtection="1">
      <alignment wrapText="1"/>
    </xf>
    <xf numFmtId="0" fontId="2" fillId="0" borderId="5" xfId="0" applyFont="1" applyFill="1" applyBorder="1" applyAlignment="1" applyProtection="1">
      <alignment wrapText="1"/>
    </xf>
    <xf numFmtId="0" fontId="2" fillId="0" borderId="6" xfId="0" applyFont="1" applyFill="1" applyBorder="1" applyAlignment="1" applyProtection="1">
      <alignment wrapText="1"/>
    </xf>
    <xf numFmtId="167" fontId="2" fillId="0" borderId="7" xfId="0" applyNumberFormat="1" applyFont="1" applyFill="1" applyBorder="1" applyAlignment="1" applyProtection="1">
      <alignment horizontal="right" wrapText="1"/>
    </xf>
    <xf numFmtId="167" fontId="2" fillId="0" borderId="11" xfId="0" applyNumberFormat="1" applyFont="1" applyFill="1" applyBorder="1" applyAlignment="1" applyProtection="1">
      <alignment wrapText="1"/>
    </xf>
    <xf numFmtId="167" fontId="2" fillId="0" borderId="0" xfId="0" applyNumberFormat="1" applyFont="1" applyFill="1" applyBorder="1" applyAlignment="1" applyProtection="1">
      <alignment horizontal="right" wrapText="1"/>
    </xf>
    <xf numFmtId="167" fontId="2" fillId="0" borderId="11" xfId="0" applyNumberFormat="1" applyFont="1" applyFill="1" applyBorder="1" applyAlignment="1" applyProtection="1">
      <alignment horizontal="right" wrapText="1"/>
    </xf>
    <xf numFmtId="0" fontId="2" fillId="0" borderId="7" xfId="0" applyFont="1" applyFill="1" applyBorder="1" applyAlignment="1" applyProtection="1">
      <alignment horizontal="right" wrapText="1"/>
    </xf>
    <xf numFmtId="0" fontId="2" fillId="0" borderId="0" xfId="0" applyFont="1" applyFill="1" applyBorder="1" applyAlignment="1" applyProtection="1">
      <alignment horizontal="right" wrapText="1"/>
    </xf>
    <xf numFmtId="0" fontId="2" fillId="0" borderId="8" xfId="0" applyFont="1" applyFill="1" applyBorder="1" applyAlignment="1" applyProtection="1">
      <alignment horizontal="right" wrapText="1"/>
    </xf>
    <xf numFmtId="0" fontId="2" fillId="0" borderId="7" xfId="0" applyFont="1" applyFill="1" applyBorder="1" applyAlignment="1" applyProtection="1">
      <alignment horizontal="center" wrapText="1"/>
    </xf>
    <xf numFmtId="0" fontId="2" fillId="0" borderId="16" xfId="0" applyFont="1" applyFill="1" applyBorder="1" applyAlignment="1" applyProtection="1">
      <alignment wrapText="1"/>
    </xf>
    <xf numFmtId="167" fontId="2" fillId="0" borderId="8" xfId="0" applyNumberFormat="1" applyFont="1" applyFill="1" applyBorder="1" applyAlignment="1" applyProtection="1">
      <alignment wrapText="1"/>
    </xf>
    <xf numFmtId="167" fontId="2" fillId="0" borderId="8" xfId="0" applyNumberFormat="1" applyFont="1" applyFill="1" applyBorder="1" applyAlignment="1" applyProtection="1">
      <alignment horizontal="right" wrapText="1"/>
    </xf>
    <xf numFmtId="0" fontId="2" fillId="0" borderId="0" xfId="0" applyFont="1" applyFill="1" applyBorder="1" applyAlignment="1" applyProtection="1">
      <alignment wrapText="1"/>
    </xf>
    <xf numFmtId="0" fontId="2" fillId="0" borderId="0" xfId="0" applyFont="1" applyFill="1" applyBorder="1" applyAlignment="1" applyProtection="1">
      <alignment horizontal="left" wrapText="1"/>
    </xf>
    <xf numFmtId="0" fontId="11" fillId="0" borderId="0" xfId="0" applyFont="1" applyFill="1" applyBorder="1" applyAlignment="1" applyProtection="1">
      <alignment horizontal="right" wrapText="1"/>
    </xf>
    <xf numFmtId="0" fontId="0" fillId="0" borderId="0" xfId="0" applyAlignment="1" applyProtection="1">
      <alignment wrapText="1"/>
    </xf>
    <xf numFmtId="169" fontId="0" fillId="0" borderId="8" xfId="0" applyNumberFormat="1" applyFill="1" applyBorder="1" applyProtection="1"/>
    <xf numFmtId="0" fontId="0" fillId="0" borderId="0" xfId="0" applyFill="1" applyBorder="1" applyProtection="1"/>
    <xf numFmtId="168" fontId="0" fillId="0" borderId="0" xfId="0" applyNumberFormat="1" applyFill="1" applyBorder="1" applyAlignment="1" applyProtection="1"/>
    <xf numFmtId="166" fontId="0" fillId="0" borderId="0" xfId="0" applyNumberFormat="1" applyFill="1" applyBorder="1" applyAlignment="1" applyProtection="1">
      <alignment horizontal="center"/>
    </xf>
    <xf numFmtId="9" fontId="0" fillId="0" borderId="0" xfId="1" applyFont="1" applyFill="1" applyBorder="1" applyProtection="1"/>
    <xf numFmtId="3" fontId="0" fillId="0" borderId="0" xfId="0" applyNumberFormat="1" applyFill="1" applyBorder="1" applyProtection="1"/>
    <xf numFmtId="0" fontId="0" fillId="0" borderId="8" xfId="0" applyFill="1" applyBorder="1" applyAlignment="1" applyProtection="1">
      <alignment horizontal="center"/>
    </xf>
    <xf numFmtId="165" fontId="0" fillId="0" borderId="7" xfId="0" applyNumberFormat="1" applyFont="1" applyFill="1" applyBorder="1" applyProtection="1"/>
    <xf numFmtId="169" fontId="0" fillId="0" borderId="8" xfId="0" applyNumberFormat="1" applyFont="1" applyFill="1" applyBorder="1" applyProtection="1"/>
    <xf numFmtId="170" fontId="0" fillId="0" borderId="7" xfId="0" applyNumberFormat="1" applyFont="1" applyFill="1" applyBorder="1" applyProtection="1"/>
    <xf numFmtId="170" fontId="0" fillId="0" borderId="0" xfId="0" applyNumberFormat="1" applyFont="1" applyFill="1" applyBorder="1" applyProtection="1"/>
    <xf numFmtId="170" fontId="0" fillId="0" borderId="8" xfId="0" applyNumberFormat="1" applyFont="1" applyFill="1" applyBorder="1" applyProtection="1"/>
    <xf numFmtId="166" fontId="0" fillId="0" borderId="7" xfId="0" applyNumberFormat="1" applyFont="1" applyFill="1" applyBorder="1" applyProtection="1"/>
    <xf numFmtId="166" fontId="0" fillId="0" borderId="0" xfId="0" applyNumberFormat="1" applyFont="1" applyFill="1" applyBorder="1" applyProtection="1"/>
    <xf numFmtId="166" fontId="0" fillId="0" borderId="8" xfId="0" applyNumberFormat="1" applyFont="1" applyFill="1" applyBorder="1" applyProtection="1"/>
    <xf numFmtId="0" fontId="0" fillId="0" borderId="7" xfId="0" applyNumberFormat="1" applyFont="1" applyFill="1" applyBorder="1" applyAlignment="1" applyProtection="1">
      <alignment horizontal="center"/>
    </xf>
    <xf numFmtId="0" fontId="0" fillId="0" borderId="0" xfId="0" applyNumberFormat="1" applyFont="1" applyFill="1" applyBorder="1" applyAlignment="1" applyProtection="1">
      <alignment horizontal="center"/>
    </xf>
    <xf numFmtId="0" fontId="0" fillId="0" borderId="8" xfId="0" applyNumberFormat="1" applyFont="1" applyFill="1" applyBorder="1" applyAlignment="1" applyProtection="1">
      <alignment horizontal="center"/>
    </xf>
    <xf numFmtId="0" fontId="0" fillId="0" borderId="7" xfId="0" applyNumberFormat="1" applyFont="1" applyFill="1" applyBorder="1" applyProtection="1"/>
    <xf numFmtId="0" fontId="0" fillId="0" borderId="0" xfId="0" applyNumberFormat="1" applyFont="1" applyFill="1" applyBorder="1" applyProtection="1"/>
    <xf numFmtId="0" fontId="0" fillId="0" borderId="8" xfId="0" applyNumberFormat="1" applyFont="1" applyFill="1" applyBorder="1" applyProtection="1"/>
    <xf numFmtId="0" fontId="0" fillId="0" borderId="16" xfId="0" applyNumberFormat="1" applyFont="1" applyFill="1" applyBorder="1" applyProtection="1"/>
    <xf numFmtId="3" fontId="4" fillId="0" borderId="0" xfId="2" applyNumberFormat="1" applyFill="1" applyBorder="1" applyProtection="1"/>
    <xf numFmtId="0" fontId="0" fillId="0" borderId="0" xfId="0" applyNumberFormat="1" applyFill="1" applyBorder="1" applyAlignment="1" applyProtection="1">
      <alignment horizontal="center"/>
    </xf>
    <xf numFmtId="0" fontId="0" fillId="0" borderId="8" xfId="0" applyNumberFormat="1" applyFill="1" applyBorder="1" applyAlignment="1" applyProtection="1">
      <alignment horizontal="center"/>
    </xf>
    <xf numFmtId="164" fontId="0" fillId="3" borderId="0" xfId="1" applyNumberFormat="1" applyFont="1" applyFill="1" applyProtection="1"/>
    <xf numFmtId="0" fontId="0" fillId="3" borderId="0" xfId="0" applyNumberFormat="1" applyFill="1" applyProtection="1"/>
    <xf numFmtId="0" fontId="12" fillId="13" borderId="7" xfId="3" applyBorder="1" applyProtection="1">
      <protection locked="0"/>
    </xf>
    <xf numFmtId="0" fontId="3" fillId="3" borderId="0" xfId="0" applyFont="1" applyFill="1" applyProtection="1"/>
    <xf numFmtId="0" fontId="3" fillId="0" borderId="9" xfId="0" applyNumberFormat="1" applyFont="1" applyFill="1" applyBorder="1" applyAlignment="1" applyProtection="1"/>
    <xf numFmtId="0" fontId="3" fillId="0" borderId="10" xfId="0" applyNumberFormat="1" applyFont="1" applyFill="1" applyBorder="1" applyAlignment="1" applyProtection="1"/>
    <xf numFmtId="0" fontId="3" fillId="0" borderId="3" xfId="0" applyNumberFormat="1" applyFont="1" applyFill="1" applyBorder="1" applyAlignment="1" applyProtection="1"/>
    <xf numFmtId="165" fontId="3" fillId="0" borderId="9" xfId="0" applyNumberFormat="1" applyFont="1" applyFill="1" applyBorder="1" applyProtection="1"/>
    <xf numFmtId="1" fontId="3" fillId="0" borderId="10" xfId="0" applyNumberFormat="1" applyFont="1" applyFill="1" applyBorder="1" applyProtection="1"/>
    <xf numFmtId="0" fontId="3" fillId="0" borderId="9" xfId="0" applyFont="1" applyFill="1" applyBorder="1" applyProtection="1"/>
    <xf numFmtId="0" fontId="3" fillId="0" borderId="3" xfId="0" applyFont="1" applyFill="1" applyBorder="1" applyProtection="1"/>
    <xf numFmtId="0" fontId="3" fillId="0" borderId="10" xfId="0" applyFont="1" applyFill="1" applyBorder="1" applyProtection="1"/>
    <xf numFmtId="0" fontId="3" fillId="0" borderId="9"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10" xfId="0" applyFont="1" applyFill="1" applyBorder="1" applyAlignment="1" applyProtection="1">
      <alignment horizontal="center"/>
    </xf>
    <xf numFmtId="0" fontId="3" fillId="0" borderId="17" xfId="0" applyFont="1" applyFill="1" applyBorder="1" applyProtection="1"/>
    <xf numFmtId="0" fontId="12" fillId="13" borderId="7" xfId="3" quotePrefix="1" applyBorder="1" applyProtection="1">
      <protection locked="0"/>
    </xf>
    <xf numFmtId="3" fontId="12" fillId="13" borderId="0" xfId="3" applyNumberFormat="1" applyBorder="1" applyProtection="1">
      <protection locked="0"/>
    </xf>
    <xf numFmtId="0" fontId="13" fillId="8" borderId="0" xfId="0" quotePrefix="1" applyFont="1" applyFill="1" applyBorder="1" applyAlignment="1" applyProtection="1">
      <alignment horizontal="center" vertical="center"/>
    </xf>
    <xf numFmtId="0" fontId="3" fillId="3" borderId="0" xfId="0" applyFont="1" applyFill="1"/>
    <xf numFmtId="0" fontId="0" fillId="3" borderId="0" xfId="0" applyFont="1" applyFill="1"/>
    <xf numFmtId="0" fontId="13" fillId="8" borderId="0" xfId="0" quotePrefix="1" applyFont="1" applyFill="1" applyAlignment="1" applyProtection="1">
      <alignment horizontal="center"/>
    </xf>
    <xf numFmtId="0" fontId="13" fillId="8" borderId="0" xfId="0" applyFont="1" applyFill="1" applyAlignment="1" applyProtection="1">
      <alignment horizontal="center"/>
    </xf>
    <xf numFmtId="0" fontId="0" fillId="3" borderId="0" xfId="0" applyFill="1" applyAlignment="1" applyProtection="1"/>
    <xf numFmtId="0" fontId="16" fillId="0" borderId="23" xfId="0" applyNumberFormat="1" applyFont="1" applyFill="1" applyBorder="1" applyProtection="1"/>
    <xf numFmtId="0" fontId="0" fillId="0" borderId="7" xfId="0" applyNumberFormat="1" applyFill="1" applyBorder="1" applyProtection="1"/>
    <xf numFmtId="168" fontId="0" fillId="0" borderId="0" xfId="0" applyNumberFormat="1" applyFill="1" applyAlignment="1" applyProtection="1"/>
    <xf numFmtId="166" fontId="0" fillId="0" borderId="0" xfId="0" applyNumberFormat="1" applyFill="1" applyAlignment="1" applyProtection="1">
      <alignment horizontal="center"/>
    </xf>
    <xf numFmtId="0" fontId="0" fillId="0" borderId="0" xfId="0" applyNumberFormat="1" applyFill="1" applyProtection="1"/>
    <xf numFmtId="9" fontId="0" fillId="0" borderId="0" xfId="1" applyNumberFormat="1" applyFont="1" applyFill="1" applyBorder="1" applyProtection="1"/>
    <xf numFmtId="3" fontId="0" fillId="0" borderId="0" xfId="0" applyNumberFormat="1" applyFill="1" applyProtection="1"/>
    <xf numFmtId="0" fontId="17" fillId="0" borderId="0" xfId="0" applyFont="1" applyFill="1" applyBorder="1" applyProtection="1"/>
    <xf numFmtId="3" fontId="18" fillId="0" borderId="0" xfId="0" applyNumberFormat="1" applyFont="1" applyFill="1" applyBorder="1" applyProtection="1"/>
    <xf numFmtId="14" fontId="0" fillId="0" borderId="0" xfId="0" applyNumberFormat="1"/>
    <xf numFmtId="0" fontId="5" fillId="0" borderId="0" xfId="0" applyFont="1" applyFill="1" applyBorder="1" applyAlignment="1" applyProtection="1">
      <alignment wrapText="1"/>
    </xf>
    <xf numFmtId="0" fontId="3" fillId="0" borderId="0" xfId="0" applyFont="1"/>
    <xf numFmtId="0" fontId="3" fillId="0" borderId="0" xfId="0" quotePrefix="1" applyFont="1"/>
    <xf numFmtId="171" fontId="3" fillId="0" borderId="0" xfId="0" applyNumberFormat="1" applyFont="1"/>
    <xf numFmtId="171" fontId="0" fillId="0" borderId="7" xfId="0" applyNumberFormat="1" applyFill="1" applyBorder="1" applyProtection="1"/>
    <xf numFmtId="172" fontId="0" fillId="0" borderId="7" xfId="0" applyNumberFormat="1" applyFill="1" applyBorder="1" applyProtection="1"/>
    <xf numFmtId="0" fontId="13" fillId="8" borderId="0" xfId="0" quotePrefix="1" applyFont="1" applyFill="1" applyBorder="1" applyAlignment="1" applyProtection="1">
      <alignment vertical="center" wrapText="1"/>
    </xf>
    <xf numFmtId="0" fontId="13" fillId="8" borderId="0" xfId="0" quotePrefix="1" applyFont="1" applyFill="1" applyBorder="1" applyAlignment="1" applyProtection="1">
      <alignment vertical="center"/>
    </xf>
    <xf numFmtId="0" fontId="0" fillId="9" borderId="0" xfId="0" applyFill="1"/>
    <xf numFmtId="171" fontId="0" fillId="0" borderId="0" xfId="0" applyNumberFormat="1"/>
    <xf numFmtId="0" fontId="4" fillId="9" borderId="0" xfId="2" applyFill="1"/>
    <xf numFmtId="0" fontId="12" fillId="9" borderId="0" xfId="3" applyFill="1">
      <protection locked="0"/>
    </xf>
    <xf numFmtId="0" fontId="12" fillId="9" borderId="0" xfId="3" applyNumberFormat="1" applyFill="1">
      <protection locked="0"/>
    </xf>
    <xf numFmtId="2" fontId="0" fillId="9" borderId="0" xfId="0" applyNumberFormat="1" applyFill="1"/>
    <xf numFmtId="0" fontId="0" fillId="9" borderId="0" xfId="0" applyNumberFormat="1" applyFill="1"/>
    <xf numFmtId="0" fontId="12" fillId="13" borderId="0" xfId="3">
      <protection locked="0"/>
    </xf>
    <xf numFmtId="0" fontId="12" fillId="13" borderId="0" xfId="3" applyBorder="1">
      <protection locked="0"/>
    </xf>
    <xf numFmtId="176" fontId="0" fillId="0" borderId="0" xfId="0" applyNumberFormat="1"/>
    <xf numFmtId="171" fontId="0" fillId="9" borderId="0" xfId="0" applyNumberFormat="1" applyFill="1"/>
    <xf numFmtId="0" fontId="21" fillId="9" borderId="0" xfId="0" applyFont="1" applyFill="1"/>
    <xf numFmtId="0" fontId="21" fillId="0" borderId="0" xfId="0" applyFont="1"/>
    <xf numFmtId="0" fontId="0" fillId="9" borderId="0" xfId="0" applyFill="1" applyBorder="1"/>
    <xf numFmtId="0" fontId="0" fillId="0" borderId="0" xfId="0" applyBorder="1"/>
    <xf numFmtId="2" fontId="0" fillId="0" borderId="0" xfId="0" applyNumberFormat="1" applyBorder="1"/>
    <xf numFmtId="0" fontId="0" fillId="0" borderId="0" xfId="0" applyBorder="1" applyAlignment="1">
      <alignment horizontal="center"/>
    </xf>
    <xf numFmtId="0" fontId="0" fillId="0" borderId="0" xfId="0" applyNumberFormat="1" applyBorder="1"/>
    <xf numFmtId="0" fontId="0" fillId="0" borderId="0" xfId="0" applyNumberFormat="1" applyBorder="1" applyAlignment="1">
      <alignment horizontal="center"/>
    </xf>
    <xf numFmtId="2" fontId="0" fillId="0" borderId="0" xfId="0" applyNumberFormat="1" applyFill="1" applyBorder="1"/>
    <xf numFmtId="0" fontId="0" fillId="0" borderId="0" xfId="0" applyNumberFormat="1" applyFill="1" applyBorder="1"/>
    <xf numFmtId="0" fontId="0" fillId="0" borderId="0" xfId="0" applyNumberFormat="1" applyFill="1" applyBorder="1" applyAlignment="1">
      <alignment horizontal="center"/>
    </xf>
    <xf numFmtId="171" fontId="0" fillId="0" borderId="0" xfId="0" applyNumberFormat="1" applyBorder="1"/>
    <xf numFmtId="173" fontId="0" fillId="0" borderId="0" xfId="0" applyNumberFormat="1" applyBorder="1"/>
    <xf numFmtId="174" fontId="0" fillId="0" borderId="0" xfId="0" applyNumberFormat="1" applyBorder="1"/>
    <xf numFmtId="166" fontId="0" fillId="0" borderId="0" xfId="0" applyNumberFormat="1" applyBorder="1"/>
    <xf numFmtId="175" fontId="0" fillId="0" borderId="0" xfId="0" applyNumberFormat="1" applyBorder="1"/>
    <xf numFmtId="0" fontId="4" fillId="0" borderId="0" xfId="2" applyBorder="1"/>
    <xf numFmtId="3" fontId="12" fillId="13" borderId="0" xfId="3" applyNumberFormat="1" applyBorder="1">
      <protection locked="0"/>
    </xf>
    <xf numFmtId="0" fontId="4" fillId="0" borderId="0" xfId="2" applyFill="1" applyBorder="1"/>
    <xf numFmtId="0" fontId="4" fillId="9" borderId="0" xfId="2" applyFill="1" applyBorder="1"/>
    <xf numFmtId="169" fontId="0" fillId="0" borderId="0" xfId="0" applyNumberFormat="1"/>
    <xf numFmtId="176" fontId="0" fillId="9" borderId="0" xfId="0" applyNumberFormat="1" applyFill="1"/>
    <xf numFmtId="0" fontId="12" fillId="13" borderId="16" xfId="3" applyBorder="1" applyAlignment="1">
      <alignment horizontal="center"/>
      <protection locked="0"/>
    </xf>
    <xf numFmtId="0" fontId="0" fillId="0" borderId="22" xfId="0" applyBorder="1"/>
    <xf numFmtId="0" fontId="0" fillId="0" borderId="16" xfId="0" applyBorder="1"/>
    <xf numFmtId="0" fontId="20" fillId="0" borderId="17" xfId="2" applyFont="1" applyBorder="1" applyAlignment="1">
      <alignment vertical="top" wrapText="1"/>
    </xf>
    <xf numFmtId="0" fontId="2" fillId="5" borderId="22" xfId="0" applyFont="1" applyFill="1" applyBorder="1" applyAlignment="1">
      <alignment horizontal="center"/>
    </xf>
    <xf numFmtId="0" fontId="22" fillId="9" borderId="16" xfId="0" applyFont="1" applyFill="1" applyBorder="1" applyAlignment="1">
      <alignment horizontal="left" vertical="center"/>
    </xf>
    <xf numFmtId="0" fontId="22" fillId="9" borderId="16" xfId="0" applyFont="1" applyFill="1" applyBorder="1" applyAlignment="1">
      <alignment vertical="center"/>
    </xf>
    <xf numFmtId="16" fontId="0" fillId="0" borderId="0" xfId="0" quotePrefix="1" applyNumberFormat="1"/>
    <xf numFmtId="0" fontId="12" fillId="13" borderId="24" xfId="3" applyBorder="1" applyProtection="1">
      <protection locked="0"/>
    </xf>
    <xf numFmtId="0" fontId="12" fillId="13" borderId="25" xfId="3" applyBorder="1" applyProtection="1">
      <protection locked="0"/>
    </xf>
    <xf numFmtId="0" fontId="12" fillId="13" borderId="26" xfId="3" applyBorder="1" applyProtection="1">
      <protection locked="0"/>
    </xf>
    <xf numFmtId="0" fontId="19" fillId="11" borderId="27" xfId="0" applyFont="1" applyFill="1" applyBorder="1"/>
    <xf numFmtId="0" fontId="0" fillId="9" borderId="0" xfId="0" applyNumberFormat="1" applyFill="1" applyAlignment="1">
      <alignment horizontal="center"/>
    </xf>
    <xf numFmtId="0" fontId="23" fillId="11" borderId="27" xfId="0" applyFont="1" applyFill="1" applyBorder="1"/>
    <xf numFmtId="0" fontId="12" fillId="13" borderId="10" xfId="3" applyBorder="1" applyProtection="1">
      <protection locked="0"/>
    </xf>
    <xf numFmtId="3" fontId="12" fillId="13" borderId="0" xfId="3" applyNumberFormat="1" applyProtection="1">
      <protection locked="0"/>
    </xf>
    <xf numFmtId="0" fontId="11" fillId="6" borderId="19" xfId="0" applyFont="1" applyFill="1" applyBorder="1" applyAlignment="1" applyProtection="1">
      <alignment wrapText="1"/>
    </xf>
    <xf numFmtId="0" fontId="11" fillId="6" borderId="20" xfId="0" applyFont="1" applyFill="1" applyBorder="1" applyAlignment="1" applyProtection="1">
      <alignment wrapText="1"/>
    </xf>
    <xf numFmtId="0" fontId="11" fillId="6" borderId="21" xfId="0" applyFont="1" applyFill="1" applyBorder="1" applyAlignment="1" applyProtection="1">
      <alignment wrapText="1"/>
    </xf>
    <xf numFmtId="0" fontId="3" fillId="0" borderId="0" xfId="0" applyFont="1" applyFill="1" applyBorder="1" applyProtection="1"/>
    <xf numFmtId="1" fontId="3" fillId="0" borderId="0" xfId="0" applyNumberFormat="1" applyFont="1" applyFill="1" applyBorder="1" applyProtection="1"/>
    <xf numFmtId="1" fontId="3" fillId="0" borderId="9" xfId="0" applyNumberFormat="1" applyFont="1" applyFill="1" applyBorder="1" applyProtection="1"/>
    <xf numFmtId="0" fontId="3" fillId="6" borderId="34" xfId="0" applyFont="1" applyFill="1" applyBorder="1" applyAlignment="1" applyProtection="1">
      <alignment wrapText="1"/>
    </xf>
    <xf numFmtId="0" fontId="3" fillId="6" borderId="35" xfId="0" applyFont="1" applyFill="1" applyBorder="1" applyAlignment="1" applyProtection="1">
      <alignment wrapText="1"/>
    </xf>
    <xf numFmtId="12" fontId="0" fillId="0" borderId="0" xfId="0" applyNumberFormat="1"/>
    <xf numFmtId="178" fontId="0" fillId="0" borderId="0" xfId="0" applyNumberFormat="1"/>
    <xf numFmtId="0" fontId="5" fillId="0" borderId="4" xfId="0" applyFont="1" applyFill="1" applyBorder="1" applyAlignment="1" applyProtection="1">
      <alignment horizontal="center" wrapText="1"/>
    </xf>
    <xf numFmtId="0" fontId="2" fillId="5" borderId="5" xfId="0" applyFont="1" applyFill="1" applyBorder="1" applyAlignment="1" applyProtection="1">
      <alignment horizontal="center" vertical="center" wrapText="1"/>
    </xf>
    <xf numFmtId="167" fontId="2" fillId="2" borderId="5" xfId="0" applyNumberFormat="1" applyFont="1" applyFill="1" applyBorder="1" applyAlignment="1" applyProtection="1">
      <alignment horizontal="center" vertical="center" wrapText="1"/>
    </xf>
    <xf numFmtId="167" fontId="2" fillId="4" borderId="6" xfId="0" applyNumberFormat="1" applyFont="1" applyFill="1" applyBorder="1" applyAlignment="1" applyProtection="1">
      <alignment horizontal="center" vertical="center" wrapText="1"/>
    </xf>
    <xf numFmtId="0" fontId="0" fillId="0" borderId="7" xfId="0" applyFill="1" applyBorder="1" applyAlignment="1" applyProtection="1">
      <alignment horizontal="center"/>
    </xf>
    <xf numFmtId="12" fontId="0" fillId="0" borderId="0" xfId="0" applyNumberFormat="1" applyFill="1" applyProtection="1"/>
    <xf numFmtId="12" fontId="3" fillId="0" borderId="0" xfId="0" applyNumberFormat="1" applyFont="1" applyFill="1" applyProtection="1"/>
    <xf numFmtId="175" fontId="0" fillId="0" borderId="8" xfId="0" applyNumberFormat="1" applyFill="1" applyBorder="1" applyProtection="1"/>
    <xf numFmtId="179" fontId="0" fillId="0" borderId="0" xfId="0" applyNumberFormat="1" applyFill="1" applyAlignment="1" applyProtection="1">
      <alignment horizontal="center"/>
    </xf>
    <xf numFmtId="0" fontId="5" fillId="0" borderId="4" xfId="0" applyFont="1" applyFill="1" applyBorder="1" applyAlignment="1" applyProtection="1">
      <alignment wrapText="1"/>
    </xf>
    <xf numFmtId="0" fontId="5" fillId="0" borderId="5" xfId="0" applyFont="1" applyFill="1" applyBorder="1" applyAlignment="1" applyProtection="1">
      <alignment wrapText="1"/>
    </xf>
    <xf numFmtId="1" fontId="3" fillId="0" borderId="3" xfId="0" applyNumberFormat="1" applyFont="1" applyFill="1" applyBorder="1" applyProtection="1"/>
    <xf numFmtId="0" fontId="5" fillId="0" borderId="22" xfId="0" applyFont="1" applyFill="1" applyBorder="1" applyAlignment="1" applyProtection="1">
      <alignment wrapText="1"/>
    </xf>
    <xf numFmtId="2" fontId="0" fillId="0" borderId="16" xfId="0" applyNumberFormat="1" applyFill="1" applyBorder="1" applyProtection="1"/>
    <xf numFmtId="1" fontId="3" fillId="0" borderId="17" xfId="0" applyNumberFormat="1" applyFont="1" applyFill="1" applyBorder="1" applyProtection="1"/>
    <xf numFmtId="0" fontId="8" fillId="6" borderId="22" xfId="0" applyFont="1" applyFill="1" applyBorder="1" applyAlignment="1" applyProtection="1">
      <alignment horizontal="center" vertical="center" wrapText="1"/>
    </xf>
    <xf numFmtId="171" fontId="19" fillId="11" borderId="27" xfId="0" applyNumberFormat="1" applyFont="1" applyFill="1" applyBorder="1"/>
    <xf numFmtId="0" fontId="19" fillId="11" borderId="27" xfId="0" applyNumberFormat="1" applyFont="1" applyFill="1" applyBorder="1"/>
    <xf numFmtId="0" fontId="4" fillId="0" borderId="0" xfId="0" applyFont="1" applyBorder="1"/>
    <xf numFmtId="0" fontId="24" fillId="3" borderId="0" xfId="0" applyFont="1" applyFill="1" applyAlignment="1" applyProtection="1"/>
    <xf numFmtId="0" fontId="24" fillId="3" borderId="0" xfId="0" applyFont="1" applyFill="1" applyAlignment="1" applyProtection="1">
      <alignment horizontal="center"/>
    </xf>
    <xf numFmtId="171" fontId="3" fillId="12" borderId="6" xfId="0" applyNumberFormat="1" applyFont="1" applyFill="1" applyBorder="1"/>
    <xf numFmtId="171" fontId="3" fillId="12" borderId="8" xfId="0" applyNumberFormat="1" applyFont="1" applyFill="1" applyBorder="1"/>
    <xf numFmtId="0" fontId="15" fillId="3" borderId="0" xfId="4" applyFont="1" applyFill="1" applyAlignment="1">
      <alignment horizontal="center"/>
    </xf>
    <xf numFmtId="0" fontId="27" fillId="3" borderId="0" xfId="0" applyFont="1" applyFill="1" applyAlignment="1">
      <alignment horizontal="center" vertical="center" wrapText="1"/>
    </xf>
    <xf numFmtId="0" fontId="0" fillId="3" borderId="0" xfId="0" applyFill="1" applyAlignment="1">
      <alignment horizontal="center"/>
    </xf>
    <xf numFmtId="0" fontId="13" fillId="8" borderId="0" xfId="0" quotePrefix="1" applyFont="1" applyFill="1" applyAlignment="1" applyProtection="1">
      <alignment horizontal="center"/>
    </xf>
    <xf numFmtId="0" fontId="13" fillId="8" borderId="0" xfId="0" applyFont="1" applyFill="1" applyAlignment="1" applyProtection="1">
      <alignment horizontal="center"/>
    </xf>
    <xf numFmtId="0" fontId="13" fillId="7" borderId="0" xfId="0" quotePrefix="1" applyFont="1" applyFill="1" applyAlignment="1" applyProtection="1">
      <alignment horizontal="center"/>
    </xf>
    <xf numFmtId="0" fontId="8" fillId="5" borderId="12" xfId="0" applyFont="1" applyFill="1" applyBorder="1" applyAlignment="1" applyProtection="1">
      <alignment horizontal="center" vertical="center" wrapText="1"/>
    </xf>
    <xf numFmtId="0" fontId="8" fillId="5" borderId="13" xfId="0" applyFont="1" applyFill="1" applyBorder="1" applyAlignment="1" applyProtection="1">
      <alignment horizontal="center" vertical="center" wrapText="1"/>
    </xf>
    <xf numFmtId="167" fontId="8" fillId="2" borderId="12" xfId="0" applyNumberFormat="1" applyFont="1" applyFill="1" applyBorder="1" applyAlignment="1" applyProtection="1">
      <alignment horizontal="center" vertical="center" wrapText="1"/>
    </xf>
    <xf numFmtId="167" fontId="8" fillId="2" borderId="13" xfId="0" applyNumberFormat="1" applyFont="1" applyFill="1" applyBorder="1" applyAlignment="1" applyProtection="1">
      <alignment horizontal="center" vertical="center" wrapText="1"/>
    </xf>
    <xf numFmtId="167" fontId="8" fillId="4" borderId="12" xfId="0" applyNumberFormat="1" applyFont="1" applyFill="1" applyBorder="1" applyAlignment="1" applyProtection="1">
      <alignment horizontal="center" vertical="center" wrapText="1"/>
    </xf>
    <xf numFmtId="167" fontId="8" fillId="4" borderId="13" xfId="0" applyNumberFormat="1" applyFont="1" applyFill="1" applyBorder="1" applyAlignment="1" applyProtection="1">
      <alignment horizontal="center" vertical="center" wrapText="1"/>
    </xf>
    <xf numFmtId="167" fontId="2" fillId="2" borderId="12" xfId="0" applyNumberFormat="1" applyFont="1" applyFill="1" applyBorder="1" applyAlignment="1" applyProtection="1">
      <alignment horizontal="center" wrapText="1"/>
    </xf>
    <xf numFmtId="167" fontId="2" fillId="2" borderId="14" xfId="0" applyNumberFormat="1" applyFont="1" applyFill="1" applyBorder="1" applyAlignment="1" applyProtection="1">
      <alignment horizontal="center" wrapText="1"/>
    </xf>
    <xf numFmtId="167" fontId="2" fillId="2" borderId="13" xfId="0" applyNumberFormat="1" applyFont="1" applyFill="1" applyBorder="1" applyAlignment="1" applyProtection="1">
      <alignment horizontal="center" wrapText="1"/>
    </xf>
    <xf numFmtId="0" fontId="8" fillId="6" borderId="1" xfId="0" applyFont="1" applyFill="1" applyBorder="1" applyAlignment="1" applyProtection="1">
      <alignment horizontal="center" vertical="center" wrapText="1"/>
    </xf>
    <xf numFmtId="0" fontId="8" fillId="6" borderId="2" xfId="0" applyFont="1" applyFill="1" applyBorder="1" applyAlignment="1" applyProtection="1">
      <alignment horizontal="center" vertical="center" wrapText="1"/>
    </xf>
    <xf numFmtId="167" fontId="2" fillId="4" borderId="12" xfId="0" applyNumberFormat="1" applyFont="1" applyFill="1" applyBorder="1" applyAlignment="1" applyProtection="1">
      <alignment horizontal="center" wrapText="1"/>
    </xf>
    <xf numFmtId="167" fontId="2" fillId="4" borderId="14" xfId="0" applyNumberFormat="1" applyFont="1" applyFill="1" applyBorder="1" applyAlignment="1" applyProtection="1">
      <alignment horizontal="center" wrapText="1"/>
    </xf>
    <xf numFmtId="167" fontId="2" fillId="4" borderId="13" xfId="0" applyNumberFormat="1" applyFont="1" applyFill="1" applyBorder="1" applyAlignment="1" applyProtection="1">
      <alignment horizontal="center" wrapText="1"/>
    </xf>
    <xf numFmtId="0" fontId="8" fillId="6" borderId="18" xfId="0" applyFont="1" applyFill="1" applyBorder="1" applyAlignment="1" applyProtection="1">
      <alignment horizontal="center" vertical="center" wrapText="1"/>
    </xf>
    <xf numFmtId="0" fontId="24" fillId="3" borderId="0" xfId="0" applyFont="1" applyFill="1" applyAlignment="1" applyProtection="1">
      <alignment horizontal="center"/>
    </xf>
    <xf numFmtId="0" fontId="25" fillId="3" borderId="0" xfId="0" applyFont="1" applyFill="1" applyAlignment="1" applyProtection="1">
      <alignment horizontal="center"/>
    </xf>
    <xf numFmtId="0" fontId="2" fillId="5" borderId="4" xfId="0" applyFont="1" applyFill="1" applyBorder="1" applyAlignment="1">
      <alignment horizontal="center"/>
    </xf>
    <xf numFmtId="0" fontId="2" fillId="5" borderId="5" xfId="0" applyFont="1" applyFill="1" applyBorder="1" applyAlignment="1">
      <alignment horizontal="center"/>
    </xf>
    <xf numFmtId="0" fontId="2" fillId="5" borderId="6" xfId="0" applyFont="1" applyFill="1" applyBorder="1" applyAlignment="1">
      <alignment horizontal="center"/>
    </xf>
    <xf numFmtId="0" fontId="20" fillId="0" borderId="9" xfId="2" applyFont="1" applyBorder="1" applyAlignment="1">
      <alignment horizontal="left" vertical="top" wrapText="1"/>
    </xf>
    <xf numFmtId="0" fontId="20" fillId="0" borderId="3" xfId="2" applyFont="1" applyBorder="1" applyAlignment="1">
      <alignment horizontal="left" vertical="top" wrapText="1"/>
    </xf>
    <xf numFmtId="0" fontId="20" fillId="0" borderId="10" xfId="2" applyFont="1" applyBorder="1" applyAlignment="1">
      <alignment horizontal="left" vertical="top" wrapText="1"/>
    </xf>
    <xf numFmtId="0" fontId="12" fillId="13" borderId="7" xfId="3" applyBorder="1" applyAlignment="1">
      <alignment horizontal="center"/>
      <protection locked="0"/>
    </xf>
    <xf numFmtId="0" fontId="12" fillId="13" borderId="0" xfId="3" applyBorder="1" applyAlignment="1">
      <alignment horizontal="center"/>
      <protection locked="0"/>
    </xf>
    <xf numFmtId="0" fontId="12" fillId="13" borderId="8" xfId="3" applyBorder="1" applyAlignment="1">
      <alignment horizontal="center"/>
      <protection locked="0"/>
    </xf>
    <xf numFmtId="0" fontId="2" fillId="6" borderId="4" xfId="0" applyFont="1" applyFill="1" applyBorder="1" applyAlignment="1">
      <alignment horizontal="center"/>
    </xf>
    <xf numFmtId="0" fontId="2" fillId="6" borderId="5" xfId="0" applyFont="1" applyFill="1" applyBorder="1" applyAlignment="1">
      <alignment horizontal="center"/>
    </xf>
    <xf numFmtId="0" fontId="2" fillId="6" borderId="6" xfId="0" applyFont="1" applyFill="1" applyBorder="1" applyAlignment="1">
      <alignment horizontal="center"/>
    </xf>
    <xf numFmtId="177" fontId="12" fillId="13" borderId="7" xfId="3" applyNumberFormat="1" applyBorder="1" applyAlignment="1">
      <alignment horizontal="center"/>
      <protection locked="0"/>
    </xf>
    <xf numFmtId="177" fontId="12" fillId="13" borderId="0" xfId="3" applyNumberFormat="1" applyBorder="1" applyAlignment="1">
      <alignment horizontal="center"/>
      <protection locked="0"/>
    </xf>
    <xf numFmtId="177" fontId="12" fillId="13" borderId="8" xfId="3" applyNumberFormat="1" applyBorder="1" applyAlignment="1">
      <alignment horizontal="center"/>
      <protection locked="0"/>
    </xf>
    <xf numFmtId="0" fontId="2" fillId="10" borderId="4" xfId="0" applyFont="1" applyFill="1" applyBorder="1" applyAlignment="1">
      <alignment horizontal="center" vertical="center"/>
    </xf>
    <xf numFmtId="0" fontId="2" fillId="10" borderId="5" xfId="0" applyFont="1" applyFill="1" applyBorder="1" applyAlignment="1">
      <alignment horizontal="center" vertical="center"/>
    </xf>
    <xf numFmtId="0" fontId="2" fillId="10" borderId="6" xfId="0" applyFont="1" applyFill="1" applyBorder="1" applyAlignment="1">
      <alignment horizontal="center" vertical="center"/>
    </xf>
    <xf numFmtId="0" fontId="2" fillId="10" borderId="7" xfId="0" applyFont="1" applyFill="1" applyBorder="1" applyAlignment="1">
      <alignment horizontal="center" vertical="center"/>
    </xf>
    <xf numFmtId="0" fontId="2" fillId="10" borderId="0" xfId="0" applyFont="1" applyFill="1" applyBorder="1" applyAlignment="1">
      <alignment horizontal="center" vertical="center"/>
    </xf>
    <xf numFmtId="0" fontId="2" fillId="10" borderId="8"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6" xfId="0" applyFont="1" applyFill="1" applyBorder="1" applyAlignment="1">
      <alignment horizontal="center" vertical="center"/>
    </xf>
    <xf numFmtId="0" fontId="2" fillId="5" borderId="7" xfId="0" applyFont="1" applyFill="1" applyBorder="1" applyAlignment="1">
      <alignment horizontal="center" vertical="center"/>
    </xf>
    <xf numFmtId="0" fontId="2" fillId="5" borderId="0" xfId="0" applyFont="1" applyFill="1" applyBorder="1" applyAlignment="1">
      <alignment horizontal="center" vertical="center"/>
    </xf>
    <xf numFmtId="0" fontId="2" fillId="5" borderId="8"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5"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29" xfId="0" applyFont="1" applyFill="1" applyBorder="1" applyAlignment="1">
      <alignment horizontal="center" vertical="center"/>
    </xf>
    <xf numFmtId="0" fontId="2" fillId="6" borderId="28" xfId="0" applyFont="1" applyFill="1" applyBorder="1" applyAlignment="1">
      <alignment horizontal="center" vertical="center"/>
    </xf>
    <xf numFmtId="0" fontId="2" fillId="6" borderId="30" xfId="0" applyFont="1" applyFill="1" applyBorder="1" applyAlignment="1">
      <alignment horizontal="center" vertical="center"/>
    </xf>
    <xf numFmtId="0" fontId="20" fillId="0" borderId="31" xfId="2" applyFont="1" applyBorder="1" applyAlignment="1">
      <alignment horizontal="left" vertical="top" wrapText="1"/>
    </xf>
    <xf numFmtId="0" fontId="20" fillId="0" borderId="32" xfId="2" applyFont="1" applyBorder="1" applyAlignment="1">
      <alignment horizontal="left" vertical="top" wrapText="1"/>
    </xf>
    <xf numFmtId="0" fontId="20" fillId="0" borderId="33" xfId="2" applyFont="1" applyBorder="1" applyAlignment="1">
      <alignment horizontal="left" vertical="top" wrapText="1"/>
    </xf>
  </cellXfs>
  <cellStyles count="5">
    <cellStyle name="Benutzereingabe" xfId="3"/>
    <cellStyle name="Erklärender Text" xfId="2" builtinId="53"/>
    <cellStyle name="Link" xfId="4" builtinId="8"/>
    <cellStyle name="Prozent" xfId="1" builtinId="5"/>
    <cellStyle name="Standard" xfId="0" builtinId="0"/>
  </cellStyles>
  <dxfs count="762">
    <dxf>
      <numFmt numFmtId="19" formatCode="dd/mm/yyyy"/>
    </dxf>
    <dxf>
      <numFmt numFmtId="0" formatCode="General"/>
      <border diagonalUp="0" diagonalDown="0">
        <left style="medium">
          <color indexed="64"/>
        </left>
        <right style="medium">
          <color indexed="64"/>
        </right>
        <top/>
        <bottom/>
        <vertical/>
        <horizontal/>
      </border>
    </dxf>
    <dxf>
      <numFmt numFmtId="0" formatCode="General"/>
    </dxf>
    <dxf>
      <numFmt numFmtId="176" formatCode="0.0000;;"/>
    </dxf>
    <dxf>
      <numFmt numFmtId="171" formatCode="General;;"/>
    </dxf>
    <dxf>
      <numFmt numFmtId="0" formatCode="General"/>
    </dxf>
    <dxf>
      <numFmt numFmtId="0" formatCode="General"/>
      <fill>
        <patternFill patternType="solid">
          <fgColor indexed="64"/>
          <bgColor theme="0" tint="-4.9989318521683403E-2"/>
        </patternFill>
      </fill>
    </dxf>
    <dxf>
      <numFmt numFmtId="0" formatCode="General"/>
      <fill>
        <patternFill patternType="solid">
          <fgColor indexed="64"/>
          <bgColor theme="0" tint="-4.9989318521683403E-2"/>
        </patternFill>
      </fill>
    </dxf>
    <dxf>
      <font>
        <b/>
        <i val="0"/>
        <strike val="0"/>
        <condense val="0"/>
        <extend val="0"/>
        <outline val="0"/>
        <shadow val="0"/>
        <u val="none"/>
        <vertAlign val="baseline"/>
        <sz val="11"/>
        <color rgb="FF3F3F3F"/>
        <name val="Calibri"/>
        <scheme val="minor"/>
      </font>
      <numFmt numFmtId="0" formatCode="General"/>
      <fill>
        <patternFill patternType="solid">
          <fgColor indexed="64"/>
          <bgColor rgb="FFF2F2F2"/>
        </patternFill>
      </fill>
      <border diagonalUp="0" diagonalDown="0" outline="0">
        <left style="thin">
          <color rgb="FF3F3F3F"/>
        </left>
        <right style="thin">
          <color rgb="FF3F3F3F"/>
        </right>
        <top style="thin">
          <color rgb="FF3F3F3F"/>
        </top>
        <bottom style="thin">
          <color rgb="FF3F3F3F"/>
        </bottom>
      </border>
    </dxf>
    <dxf>
      <font>
        <b/>
        <i val="0"/>
        <strike val="0"/>
        <condense val="0"/>
        <extend val="0"/>
        <outline val="0"/>
        <shadow val="0"/>
        <u val="none"/>
        <vertAlign val="baseline"/>
        <sz val="11"/>
        <color rgb="FF3F3F3F"/>
        <name val="Calibri"/>
        <scheme val="minor"/>
      </font>
      <numFmt numFmtId="171" formatCode="General;;"/>
      <fill>
        <patternFill patternType="solid">
          <fgColor indexed="64"/>
          <bgColor rgb="FFF2F2F2"/>
        </patternFill>
      </fill>
      <border diagonalUp="0" diagonalDown="0" outline="0">
        <left style="thin">
          <color rgb="FF3F3F3F"/>
        </left>
        <right style="thin">
          <color rgb="FF3F3F3F"/>
        </right>
        <top style="thin">
          <color rgb="FF3F3F3F"/>
        </top>
        <bottom style="thin">
          <color rgb="FF3F3F3F"/>
        </bottom>
      </border>
    </dxf>
    <dxf>
      <border diagonalUp="0" diagonalDown="0" outline="0">
        <left/>
        <right/>
        <top/>
        <bottom/>
      </border>
    </dxf>
    <dxf>
      <numFmt numFmtId="173" formatCode="0.0000"/>
    </dxf>
    <dxf>
      <border diagonalUp="0" diagonalDown="0" outline="0">
        <left/>
        <right/>
        <top/>
        <bottom/>
      </border>
    </dxf>
    <dxf>
      <numFmt numFmtId="166" formatCode="0&quot;.&quot;"/>
    </dxf>
    <dxf>
      <border diagonalUp="0" diagonalDown="0" outline="0">
        <left/>
        <right/>
        <top/>
        <bottom/>
      </border>
    </dxf>
    <dxf>
      <numFmt numFmtId="174" formatCode="0.0000;;&quot;----&quot;"/>
    </dxf>
    <dxf>
      <border diagonalUp="0" diagonalDown="0" outline="0">
        <left/>
        <right/>
        <top/>
        <bottom/>
      </border>
    </dxf>
    <dxf>
      <numFmt numFmtId="174" formatCode="0.0000;;&quot;----&quot;"/>
    </dxf>
    <dxf>
      <border diagonalUp="0" diagonalDown="0" outline="0">
        <left/>
        <right/>
        <top/>
        <bottom/>
      </border>
    </dxf>
    <dxf>
      <numFmt numFmtId="173" formatCode="0.0000"/>
    </dxf>
    <dxf>
      <border diagonalUp="0" diagonalDown="0" outline="0">
        <left/>
        <right/>
        <top/>
        <bottom/>
      </border>
    </dxf>
    <dxf>
      <numFmt numFmtId="173" formatCode="0.0000"/>
    </dxf>
    <dxf>
      <border diagonalUp="0" diagonalDown="0" outline="0">
        <left/>
        <right/>
        <top/>
        <bottom/>
      </border>
    </dxf>
    <dxf>
      <numFmt numFmtId="173" formatCode="0.0000"/>
    </dxf>
    <dxf>
      <border diagonalUp="0" diagonalDown="0" outline="0">
        <left/>
        <right/>
        <top/>
        <bottom/>
      </border>
    </dxf>
    <dxf>
      <numFmt numFmtId="0" formatCode="General"/>
    </dxf>
    <dxf>
      <border diagonalUp="0" diagonalDown="0" outline="0">
        <left/>
        <right/>
        <top/>
        <bottom/>
      </border>
    </dxf>
    <dxf>
      <numFmt numFmtId="0" formatCode="General"/>
    </dxf>
    <dxf>
      <border diagonalUp="0" diagonalDown="0" outline="0">
        <left/>
        <right/>
        <top/>
        <bottom/>
      </border>
    </dxf>
    <dxf>
      <numFmt numFmtId="0" formatCode="General"/>
      <fill>
        <patternFill patternType="solid">
          <fgColor indexed="64"/>
          <bgColor theme="0" tint="-4.9989318521683403E-2"/>
        </patternFill>
      </fill>
      <alignment horizontal="center" vertical="bottom" textRotation="0" wrapText="0" indent="0" justifyLastLine="0" shrinkToFit="0" readingOrder="0"/>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rgb="FF3F3F3F"/>
        <name val="Calibri"/>
        <scheme val="minor"/>
      </font>
      <numFmt numFmtId="171" formatCode="General;;"/>
      <fill>
        <patternFill patternType="solid">
          <fgColor indexed="64"/>
          <bgColor rgb="FFF2F2F2"/>
        </patternFill>
      </fill>
      <border diagonalUp="0" diagonalDown="0" outline="0">
        <left style="thin">
          <color rgb="FF3F3F3F"/>
        </left>
        <right style="thin">
          <color rgb="FF3F3F3F"/>
        </right>
        <top style="thin">
          <color rgb="FF3F3F3F"/>
        </top>
        <bottom style="thin">
          <color rgb="FF3F3F3F"/>
        </bottom>
      </border>
    </dxf>
    <dxf>
      <numFmt numFmtId="171" formatCode="General;;"/>
    </dxf>
    <dxf>
      <border diagonalUp="0" diagonalDown="0" outline="0">
        <left/>
        <right/>
        <top/>
        <bottom/>
      </border>
    </dxf>
    <dxf>
      <numFmt numFmtId="0" formatCode="General"/>
    </dxf>
    <dxf>
      <border diagonalUp="0" diagonalDown="0" outline="0">
        <left/>
        <right/>
        <top/>
        <bottom/>
      </border>
    </dxf>
    <dxf>
      <numFmt numFmtId="0" formatCode="General"/>
    </dxf>
    <dxf>
      <border diagonalUp="0" diagonalDown="0" outline="0">
        <left/>
        <right/>
        <top/>
        <bottom/>
      </border>
    </dxf>
    <dxf>
      <numFmt numFmtId="0" formatCode="General"/>
    </dxf>
    <dxf>
      <border diagonalUp="0" diagonalDown="0" outline="0">
        <left/>
        <right/>
        <top/>
        <bottom/>
      </border>
    </dxf>
    <dxf>
      <numFmt numFmtId="0" formatCode="General"/>
    </dxf>
    <dxf>
      <border diagonalUp="0" diagonalDown="0" outline="0">
        <left/>
        <right/>
        <top/>
        <bottom/>
      </border>
    </dxf>
    <dxf>
      <numFmt numFmtId="0" formatCode="General"/>
    </dxf>
    <dxf>
      <border diagonalUp="0" diagonalDown="0" outline="0">
        <left/>
        <right/>
        <top/>
        <bottom/>
      </border>
    </dxf>
    <dxf>
      <numFmt numFmtId="0" formatCode="General"/>
    </dxf>
    <dxf>
      <font>
        <b val="0"/>
        <i/>
        <strike val="0"/>
        <condense val="0"/>
        <extend val="0"/>
        <outline val="0"/>
        <shadow val="0"/>
        <u val="none"/>
        <vertAlign val="baseline"/>
        <sz val="11"/>
        <color rgb="FF7F7F7F"/>
        <name val="Calibri"/>
        <scheme val="minor"/>
      </font>
      <border diagonalUp="0" diagonalDown="0" outline="0">
        <left/>
        <right/>
        <top/>
        <bottom/>
      </border>
    </dxf>
    <dxf>
      <numFmt numFmtId="0" formatCode="General"/>
    </dxf>
    <dxf>
      <border diagonalUp="0" diagonalDown="0" outline="0">
        <left/>
        <right/>
        <top/>
        <bottom/>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rgb="FF3F3F3F"/>
        <name val="Calibri"/>
        <scheme val="minor"/>
      </font>
      <fill>
        <patternFill patternType="solid">
          <fgColor indexed="64"/>
          <bgColor rgb="FFF2F2F2"/>
        </patternFill>
      </fill>
      <border diagonalUp="0" diagonalDown="0" outline="0">
        <left style="thin">
          <color rgb="FF3F3F3F"/>
        </left>
        <right style="thin">
          <color rgb="FF3F3F3F"/>
        </right>
        <top style="thin">
          <color rgb="FF3F3F3F"/>
        </top>
        <bottom style="thin">
          <color rgb="FF3F3F3F"/>
        </bottom>
      </border>
    </dxf>
    <dxf>
      <fill>
        <patternFill patternType="solid">
          <fgColor indexed="64"/>
          <bgColor theme="0" tint="-4.9989318521683403E-2"/>
        </patternFill>
      </fill>
      <border diagonalUp="0" diagonalDown="0" outline="0">
        <left/>
        <right/>
        <top/>
        <bottom/>
      </border>
    </dxf>
    <dxf>
      <fill>
        <patternFill patternType="solid">
          <fgColor indexed="64"/>
          <bgColor theme="0" tint="-4.9989318521683403E-2"/>
        </patternFill>
      </fill>
      <border diagonalUp="0" diagonalDown="0" outline="0">
        <left/>
        <right/>
        <top/>
        <bottom/>
      </border>
    </dxf>
    <dxf>
      <fill>
        <patternFill patternType="solid">
          <fgColor indexed="64"/>
          <bgColor theme="0" tint="-4.9989318521683403E-2"/>
        </patternFill>
      </fill>
      <border diagonalUp="0" diagonalDown="0" outline="0">
        <left/>
        <right/>
        <top/>
        <bottom/>
      </border>
    </dxf>
    <dxf>
      <numFmt numFmtId="169" formatCode=";;;"/>
    </dxf>
    <dxf>
      <fill>
        <patternFill patternType="solid">
          <fgColor indexed="64"/>
          <bgColor theme="0" tint="-4.9989318521683403E-2"/>
        </patternFill>
      </fill>
      <border diagonalUp="0" diagonalDown="0" outline="0">
        <left/>
        <right/>
        <top/>
        <bottom/>
      </border>
    </dxf>
    <dxf>
      <border diagonalUp="0" diagonalDown="0" outline="0">
        <left/>
        <right/>
        <top/>
        <bottom/>
      </border>
    </dxf>
    <dxf>
      <border diagonalUp="0" diagonalDown="0">
        <left style="medium">
          <color indexed="64"/>
        </left>
        <right style="medium">
          <color indexed="64"/>
        </right>
        <top style="medium">
          <color indexed="64"/>
        </top>
        <bottom style="medium">
          <color indexed="64"/>
        </bottom>
      </border>
    </dxf>
    <dxf>
      <numFmt numFmtId="0" formatCode="General"/>
    </dxf>
    <dxf>
      <numFmt numFmtId="0" formatCode="General"/>
      <alignment horizontal="center" vertical="bottom" textRotation="0" wrapText="0" indent="0" justifyLastLine="0" shrinkToFit="0" readingOrder="0"/>
    </dxf>
    <dxf>
      <numFmt numFmtId="0" formatCode="General"/>
    </dxf>
    <dxf>
      <numFmt numFmtId="0" formatCode="General"/>
    </dxf>
    <dxf>
      <numFmt numFmtId="1" formatCode="0"/>
    </dxf>
    <dxf>
      <numFmt numFmtId="2" formatCode="0.00"/>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rgb="FF3F3F3F"/>
        <name val="Calibri"/>
        <scheme val="minor"/>
      </font>
      <fill>
        <patternFill patternType="solid">
          <fgColor indexed="64"/>
          <bgColor rgb="FFF2F2F2"/>
        </patternFill>
      </fill>
      <border diagonalUp="0" diagonalDown="0" outline="0">
        <left style="thin">
          <color rgb="FF3F3F3F"/>
        </left>
        <right style="thin">
          <color rgb="FF3F3F3F"/>
        </right>
        <top style="thin">
          <color rgb="FF3F3F3F"/>
        </top>
        <bottom style="thin">
          <color rgb="FF3F3F3F"/>
        </bottom>
      </border>
    </dxf>
    <dxf>
      <fill>
        <patternFill patternType="solid">
          <fgColor indexed="64"/>
          <bgColor theme="0" tint="-4.9989318521683403E-2"/>
        </patternFill>
      </fill>
      <border diagonalUp="0" diagonalDown="0" outline="0">
        <left/>
        <right/>
        <top/>
        <bottom/>
      </border>
    </dxf>
    <dxf>
      <numFmt numFmtId="3" formatCode="#,##0"/>
    </dxf>
    <dxf>
      <fill>
        <patternFill patternType="solid">
          <fgColor indexed="64"/>
          <bgColor theme="0" tint="-4.9989318521683403E-2"/>
        </patternFill>
      </fill>
      <border diagonalUp="0" diagonalDown="0" outline="0">
        <left/>
        <right/>
        <top/>
        <bottom/>
      </border>
    </dxf>
    <dxf>
      <border diagonalUp="0" diagonalDown="0">
        <left style="medium">
          <color indexed="64"/>
        </left>
        <right style="medium">
          <color indexed="64"/>
        </right>
        <top style="medium">
          <color indexed="64"/>
        </top>
        <bottom style="medium">
          <color indexed="64"/>
        </bottom>
      </border>
    </dxf>
    <dxf>
      <fill>
        <patternFill>
          <bgColor rgb="FFD0EBB3"/>
        </patternFill>
      </fill>
    </dxf>
    <dxf>
      <fill>
        <patternFill>
          <bgColor rgb="FFFFFFBD"/>
        </patternFill>
      </fill>
    </dxf>
    <dxf>
      <fill>
        <patternFill patternType="lightGrid"/>
      </fill>
    </dxf>
    <dxf>
      <fill>
        <patternFill>
          <bgColor rgb="FF00B050"/>
        </patternFill>
      </fill>
    </dxf>
    <dxf>
      <numFmt numFmtId="169" formatCode=";;;"/>
      <fill>
        <patternFill patternType="solid">
          <bgColor theme="0"/>
        </patternFill>
      </fill>
    </dxf>
    <dxf>
      <fill>
        <patternFill patternType="lightGrid"/>
      </fill>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medium">
          <color indexed="64"/>
        </left>
        <right style="medium">
          <color indexed="64"/>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style="medium">
          <color indexed="64"/>
        </left>
        <right style="medium">
          <color indexed="64"/>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style="medium">
          <color indexed="64"/>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style="medium">
          <color indexed="64"/>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style="medium">
          <color indexed="64"/>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medium">
          <color indexed="64"/>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style="medium">
          <color indexed="64"/>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style="medium">
          <color indexed="64"/>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medium">
          <color indexed="64"/>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style="medium">
          <color indexed="64"/>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style="medium">
          <color indexed="64"/>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style="medium">
          <color indexed="64"/>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numFmt numFmtId="1" formatCode="0"/>
      <fill>
        <patternFill patternType="none">
          <fgColor indexed="64"/>
          <bgColor indexed="65"/>
        </patternFill>
      </fill>
      <border diagonalUp="0" diagonalDown="0" outline="0">
        <left/>
        <right style="medium">
          <color indexed="64"/>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9" formatCode=";;;"/>
      <fill>
        <patternFill patternType="none">
          <fgColor indexed="64"/>
          <bgColor auto="1"/>
        </patternFill>
      </fill>
      <border diagonalUp="0" diagonalDown="0">
        <left/>
        <right style="medium">
          <color indexed="64"/>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numFmt numFmtId="165" formatCode="0;;"/>
      <fill>
        <patternFill patternType="none">
          <fgColor indexed="64"/>
          <bgColor indexed="65"/>
        </patternFill>
      </fill>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5" formatCode="0;;"/>
      <fill>
        <patternFill patternType="none">
          <fgColor indexed="64"/>
          <bgColor auto="1"/>
        </patternFill>
      </fill>
      <border diagonalUp="0" diagonalDown="0">
        <left style="medium">
          <color indexed="64"/>
        </left>
        <right/>
        <top style="medium">
          <color auto="1"/>
        </top>
        <bottom style="medium">
          <color auto="1"/>
        </bottom>
        <vertical/>
        <horizontal style="medium">
          <color auto="1"/>
        </horizontal>
      </border>
      <protection locked="1" hidden="0"/>
    </dxf>
    <dxf>
      <font>
        <b/>
      </font>
      <protection locked="1" hidden="0"/>
    </dxf>
    <dxf>
      <font>
        <b val="0"/>
        <i val="0"/>
        <strike val="0"/>
        <condense val="0"/>
        <extend val="0"/>
        <outline val="0"/>
        <shadow val="0"/>
        <u val="none"/>
        <vertAlign val="baseline"/>
        <sz val="11"/>
        <color rgb="FF000000"/>
        <name val="Calibri"/>
        <scheme val="none"/>
      </font>
      <fill>
        <patternFill patternType="solid">
          <fgColor rgb="FFDDEBF7"/>
          <bgColor rgb="FFDDEBF7"/>
        </patternFill>
      </fill>
      <protection locked="1" hidden="0"/>
    </dxf>
    <dxf>
      <font>
        <b/>
        <i val="0"/>
        <strike val="0"/>
        <condense val="0"/>
        <extend val="0"/>
        <outline val="0"/>
        <shadow val="0"/>
        <u val="none"/>
        <vertAlign val="baseline"/>
        <sz val="11"/>
        <color theme="0"/>
        <name val="Calibri"/>
        <scheme val="minor"/>
      </font>
      <fill>
        <patternFill patternType="solid">
          <fgColor theme="4"/>
          <bgColor theme="4"/>
        </patternFill>
      </fill>
      <alignment horizontal="general" vertical="bottom" textRotation="0" wrapText="1" indent="0" justifyLastLine="0" shrinkToFit="0" readingOrder="0"/>
      <protection locked="1" hidden="0"/>
    </dxf>
    <dxf>
      <font>
        <b/>
        <i val="0"/>
        <strike val="0"/>
        <condense val="0"/>
        <extend val="0"/>
        <outline val="0"/>
        <shadow val="0"/>
        <u val="none"/>
        <vertAlign val="baseline"/>
        <sz val="11"/>
        <color rgb="FF3F3F76"/>
        <name val="Calibri"/>
        <scheme val="minor"/>
      </font>
      <numFmt numFmtId="3" formatCode="#,##0"/>
      <fill>
        <patternFill patternType="none">
          <fgColor indexed="64"/>
          <bgColor indexed="65"/>
        </patternFill>
      </fill>
      <border diagonalUp="0" diagonalDown="0" outline="0">
        <left/>
        <right/>
        <top/>
        <bottom/>
      </border>
      <protection locked="1" hidden="0"/>
    </dxf>
    <dxf>
      <numFmt numFmtId="3" formatCode="#,##0"/>
      <fill>
        <patternFill patternType="none">
          <fgColor indexed="64"/>
          <bgColor indexed="65"/>
        </patternFill>
      </fill>
      <protection locked="1" hidden="0"/>
    </dxf>
    <dxf>
      <font>
        <b/>
        <i/>
        <strike val="0"/>
        <condense val="0"/>
        <extend val="0"/>
        <outline val="0"/>
        <shadow val="0"/>
        <u val="none"/>
        <vertAlign val="baseline"/>
        <sz val="11"/>
        <color rgb="FF7F7F7F"/>
        <name val="Calibri"/>
        <scheme val="minor"/>
      </font>
      <fill>
        <patternFill patternType="none">
          <fgColor indexed="64"/>
          <bgColor indexed="65"/>
        </patternFill>
      </fill>
      <border diagonalUp="0" diagonalDown="0" outline="0">
        <left/>
        <right/>
        <top/>
        <bottom/>
      </border>
      <protection locked="1" hidden="0"/>
    </dxf>
    <dxf>
      <numFmt numFmtId="3" formatCode="#,##0"/>
      <fill>
        <patternFill patternType="none">
          <fgColor indexed="64"/>
          <bgColor auto="1"/>
        </patternFill>
      </fill>
      <protection locked="1" hidden="0"/>
    </dxf>
    <dxf>
      <font>
        <b/>
      </font>
      <protection locked="1" hidden="0"/>
    </dxf>
    <dxf>
      <border diagonalUp="0" diagonalDown="0">
        <left style="medium">
          <color rgb="FF000000"/>
        </left>
        <right style="medium">
          <color rgb="FF000000"/>
        </right>
        <top style="medium">
          <color rgb="FF000000"/>
        </top>
        <bottom style="medium">
          <color rgb="FF000000"/>
        </bottom>
      </border>
    </dxf>
    <dxf>
      <fill>
        <patternFill patternType="none">
          <fgColor rgb="FF000000"/>
          <bgColor auto="1"/>
        </patternFill>
      </fill>
      <protection locked="1" hidden="0"/>
    </dxf>
    <dxf>
      <fill>
        <patternFill patternType="none">
          <fgColor indexed="64"/>
          <bgColor auto="1"/>
        </patternFill>
      </fill>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medium">
          <color indexed="64"/>
        </left>
        <right style="medium">
          <color indexed="64"/>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style="medium">
          <color indexed="64"/>
        </left>
        <right style="medium">
          <color indexed="64"/>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style="medium">
          <color indexed="64"/>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style="thin">
          <color auto="1"/>
        </left>
        <right style="medium">
          <color indexed="64"/>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style="medium">
          <color indexed="64"/>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style="medium">
          <color indexed="64"/>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medium">
          <color indexed="64"/>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medium">
          <color indexed="64"/>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style="medium">
          <color indexed="64"/>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medium">
          <color indexed="64"/>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medium">
          <color indexed="64"/>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style="medium">
          <color indexed="64"/>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style="medium">
          <color indexed="64"/>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style="medium">
          <color indexed="64"/>
        </left>
        <right/>
        <top style="medium">
          <color auto="1"/>
        </top>
        <bottom style="medium">
          <color auto="1"/>
        </bottom>
      </border>
      <protection locked="1" hidden="0"/>
    </dxf>
    <dxf>
      <font>
        <b/>
        <i val="0"/>
        <strike val="0"/>
        <condense val="0"/>
        <extend val="0"/>
        <outline val="0"/>
        <shadow val="0"/>
        <u val="none"/>
        <vertAlign val="baseline"/>
        <sz val="11"/>
        <color theme="1"/>
        <name val="Calibri"/>
        <scheme val="minor"/>
      </font>
      <numFmt numFmtId="1" formatCode="0"/>
      <fill>
        <patternFill patternType="none">
          <fgColor indexed="64"/>
          <bgColor indexed="65"/>
        </patternFill>
      </fill>
      <border diagonalUp="0" diagonalDown="0" outline="0">
        <left/>
        <right style="medium">
          <color indexed="64"/>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9" formatCode=";;;"/>
      <fill>
        <patternFill patternType="none">
          <fgColor indexed="64"/>
          <bgColor auto="1"/>
        </patternFill>
      </fill>
      <border diagonalUp="0" diagonalDown="0">
        <left/>
        <right style="medium">
          <color indexed="64"/>
        </right>
        <top style="medium">
          <color auto="1"/>
        </top>
        <bottom style="medium">
          <color auto="1"/>
        </bottom>
      </border>
      <protection locked="1" hidden="0"/>
    </dxf>
    <dxf>
      <font>
        <b/>
        <i val="0"/>
        <strike val="0"/>
        <condense val="0"/>
        <extend val="0"/>
        <outline val="0"/>
        <shadow val="0"/>
        <u val="none"/>
        <vertAlign val="baseline"/>
        <sz val="11"/>
        <color theme="1"/>
        <name val="Calibri"/>
        <scheme val="minor"/>
      </font>
      <numFmt numFmtId="165" formatCode="0;;"/>
      <fill>
        <patternFill patternType="none">
          <fgColor indexed="64"/>
          <bgColor indexed="65"/>
        </patternFill>
      </fill>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5" formatCode="0;;"/>
      <fill>
        <patternFill patternType="none">
          <fgColor indexed="64"/>
          <bgColor auto="1"/>
        </patternFill>
      </fill>
      <border diagonalUp="0" diagonalDown="0">
        <left style="medium">
          <color indexed="64"/>
        </left>
        <right/>
        <top style="medium">
          <color auto="1"/>
        </top>
        <bottom style="medium">
          <color auto="1"/>
        </bottom>
      </border>
      <protection locked="1" hidden="0"/>
    </dxf>
    <dxf>
      <font>
        <b/>
      </font>
      <fill>
        <patternFill patternType="none">
          <fgColor rgb="FF000000"/>
          <bgColor auto="1"/>
        </patternFill>
      </fill>
      <protection locked="1" hidden="0"/>
    </dxf>
    <dxf>
      <font>
        <b val="0"/>
        <i val="0"/>
        <strike val="0"/>
        <condense val="0"/>
        <extend val="0"/>
        <outline val="0"/>
        <shadow val="0"/>
        <u val="none"/>
        <vertAlign val="baseline"/>
        <sz val="11"/>
        <color rgb="FF000000"/>
        <name val="Calibri"/>
        <scheme val="none"/>
      </font>
      <fill>
        <patternFill patternType="none">
          <fgColor rgb="FF000000"/>
          <bgColor auto="1"/>
        </patternFill>
      </fill>
      <protection locked="1" hidden="0"/>
    </dxf>
    <dxf>
      <font>
        <b/>
        <i val="0"/>
        <strike val="0"/>
        <condense val="0"/>
        <extend val="0"/>
        <outline val="0"/>
        <shadow val="0"/>
        <u val="none"/>
        <vertAlign val="baseline"/>
        <sz val="11"/>
        <color theme="0"/>
        <name val="Calibri"/>
        <scheme val="minor"/>
      </font>
      <fill>
        <patternFill patternType="none">
          <fgColor indexed="64"/>
          <bgColor auto="1"/>
        </patternFill>
      </fill>
      <alignment horizontal="general" vertical="bottom" textRotation="0" wrapText="1" indent="0" justifyLastLine="0" shrinkToFit="0" readingOrder="0"/>
      <protection locked="1" hidden="0"/>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style="medium">
          <color indexed="64"/>
        </right>
        <top/>
        <bottom style="medium">
          <color indexed="64"/>
        </bottom>
      </border>
      <protection locked="1" hidden="0"/>
    </dxf>
    <dxf>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medium">
          <color indexed="64"/>
        </right>
        <top/>
        <bottom/>
        <vertical/>
        <horizontal/>
      </border>
      <protection locked="1" hidden="0"/>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style="medium">
          <color indexed="64"/>
        </bottom>
      </border>
      <protection locked="1" hidden="0"/>
    </dxf>
    <dxf>
      <numFmt numFmtId="3" formatCode="#,##0"/>
      <fill>
        <patternFill patternType="none">
          <fgColor indexed="64"/>
          <bgColor auto="1"/>
        </patternFill>
      </fill>
      <protection locked="1" hidden="0"/>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style="medium">
          <color indexed="64"/>
        </bottom>
      </border>
      <protection locked="1" hidden="0"/>
    </dxf>
    <dxf>
      <numFmt numFmtId="13" formatCode="0%"/>
      <fill>
        <patternFill patternType="none">
          <fgColor indexed="64"/>
          <bgColor auto="1"/>
        </patternFill>
      </fill>
      <protection locked="1" hidden="0"/>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style="medium">
          <color indexed="64"/>
        </bottom>
      </border>
      <protection locked="1" hidden="0"/>
    </dxf>
    <dxf>
      <numFmt numFmtId="0" formatCode="General"/>
      <fill>
        <patternFill patternType="none">
          <fgColor indexed="64"/>
          <bgColor auto="1"/>
        </patternFill>
      </fill>
      <protection locked="1" hidden="0"/>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style="medium">
          <color indexed="64"/>
        </bottom>
      </border>
      <protection locked="1" hidden="0"/>
    </dxf>
    <dxf>
      <numFmt numFmtId="0" formatCode="General"/>
      <fill>
        <patternFill patternType="none">
          <fgColor indexed="64"/>
          <bgColor auto="1"/>
        </patternFill>
      </fill>
      <protection locked="1" hidden="0"/>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style="medium">
          <color indexed="64"/>
        </bottom>
      </border>
      <protection locked="1" hidden="0"/>
    </dxf>
    <dxf>
      <numFmt numFmtId="166" formatCode="0&quot;.&quot;"/>
      <fill>
        <patternFill patternType="none">
          <fgColor indexed="64"/>
          <bgColor auto="1"/>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style="medium">
          <color indexed="64"/>
        </bottom>
      </border>
      <protection locked="1" hidden="0"/>
    </dxf>
    <dxf>
      <numFmt numFmtId="168" formatCode=".0000"/>
      <fill>
        <patternFill patternType="none">
          <fgColor indexed="64"/>
          <bgColor auto="1"/>
        </patternFill>
      </fill>
      <alignment horizontal="general" vertical="bottom" textRotation="0" wrapText="0" indent="0" justifyLastLine="0" shrinkToFit="0" readingOrder="0"/>
      <protection locked="1" hidden="0"/>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style="medium">
          <color indexed="64"/>
        </bottom>
      </border>
      <protection locked="1" hidden="0"/>
    </dxf>
    <dxf>
      <numFmt numFmtId="0" formatCode="General"/>
      <fill>
        <patternFill patternType="none">
          <fgColor indexed="64"/>
          <bgColor auto="1"/>
        </patternFill>
      </fill>
      <border diagonalUp="0" diagonalDown="0" outline="0">
        <left style="medium">
          <color indexed="64"/>
        </left>
        <right/>
        <top/>
        <bottom/>
      </border>
      <protection locked="1" hidden="0"/>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style="medium">
          <color indexed="64"/>
        </right>
        <top/>
        <bottom style="medium">
          <color indexed="64"/>
        </bottom>
      </border>
      <protection locked="1" hidden="0"/>
    </dxf>
    <dxf>
      <numFmt numFmtId="175" formatCode="#\ ??/??;;"/>
      <fill>
        <patternFill patternType="none">
          <fgColor indexed="64"/>
          <bgColor auto="1"/>
        </patternFill>
      </fill>
      <border diagonalUp="0" diagonalDown="0">
        <left/>
        <right style="medium">
          <color indexed="64"/>
        </right>
        <top style="medium">
          <color auto="1"/>
        </top>
        <bottom style="medium">
          <color auto="1"/>
        </bottom>
      </border>
      <protection locked="1" hidden="0"/>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medium">
          <color indexed="64"/>
        </left>
        <right/>
        <top/>
        <bottom style="medium">
          <color indexed="64"/>
        </bottom>
      </border>
      <protection locked="1" hidden="0"/>
    </dxf>
    <dxf>
      <numFmt numFmtId="171" formatCode="General;;"/>
      <fill>
        <patternFill patternType="none">
          <fgColor indexed="64"/>
          <bgColor auto="1"/>
        </patternFill>
      </fill>
      <border diagonalUp="0" diagonalDown="0" outline="0">
        <left style="medium">
          <color indexed="64"/>
        </left>
        <right/>
        <top style="medium">
          <color auto="1"/>
        </top>
        <bottom style="medium">
          <color auto="1"/>
        </bottom>
      </border>
      <protection locked="1" hidden="0"/>
    </dxf>
    <dxf>
      <font>
        <b/>
      </font>
      <fill>
        <patternFill patternType="none">
          <fgColor rgb="FF000000"/>
          <bgColor auto="1"/>
        </patternFill>
      </fill>
      <protection locked="1" hidden="0"/>
    </dxf>
    <dxf>
      <fill>
        <patternFill patternType="none">
          <fgColor rgb="FF000000"/>
          <bgColor auto="1"/>
        </patternFill>
      </fill>
      <protection locked="1" hidden="0"/>
    </dxf>
    <dxf>
      <font>
        <b/>
        <i val="0"/>
        <strike val="0"/>
        <condense val="0"/>
        <extend val="0"/>
        <outline val="0"/>
        <shadow val="0"/>
        <u val="none"/>
        <vertAlign val="baseline"/>
        <sz val="11"/>
        <color theme="0"/>
        <name val="Calibri"/>
        <scheme val="minor"/>
      </font>
      <fill>
        <patternFill patternType="none">
          <fgColor indexed="64"/>
          <bgColor auto="1"/>
        </patternFill>
      </fill>
      <alignment horizontal="general" vertical="bottom" textRotation="0" wrapText="1" indent="0" justifyLastLine="0" shrinkToFit="0" readingOrder="0"/>
      <protection locked="1" hidden="0"/>
    </dxf>
    <dxf>
      <font>
        <b/>
        <i val="0"/>
        <strike val="0"/>
        <condense val="0"/>
        <extend val="0"/>
        <outline val="0"/>
        <shadow val="0"/>
        <u val="none"/>
        <vertAlign val="baseline"/>
        <sz val="11"/>
        <color theme="1"/>
        <name val="Calibri"/>
        <scheme val="minor"/>
      </font>
      <numFmt numFmtId="17" formatCode="#\ ?/?"/>
      <fill>
        <patternFill patternType="none">
          <fgColor indexed="64"/>
          <bgColor indexed="65"/>
        </patternFill>
      </fill>
      <protection locked="1" hidden="0"/>
    </dxf>
    <dxf>
      <numFmt numFmtId="179" formatCode="#\ ?/?;;"/>
      <fill>
        <patternFill patternType="none">
          <fgColor rgb="FF000000"/>
          <bgColor auto="1"/>
        </patternFill>
      </fill>
      <alignment horizontal="center" vertical="bottom" textRotation="0" wrapText="0" indent="0" justifyLastLine="0" shrinkToFit="0" readingOrder="0"/>
      <protection locked="1" hidden="0"/>
    </dxf>
    <dxf>
      <numFmt numFmtId="17" formatCode="#\ ?/?"/>
      <fill>
        <patternFill patternType="none">
          <fgColor indexed="64"/>
          <bgColor indexed="65"/>
        </patternFill>
      </fill>
      <protection locked="1" hidden="0"/>
    </dxf>
    <dxf>
      <numFmt numFmtId="179" formatCode="#\ ?/?;;"/>
      <fill>
        <patternFill patternType="none">
          <fgColor indexed="64"/>
          <bgColor indexed="65"/>
        </patternFill>
      </fill>
      <alignment horizontal="center" vertical="bottom" textRotation="0" wrapText="0" indent="0" justifyLastLine="0" shrinkToFit="0" readingOrder="0"/>
      <protection locked="1" hidden="0"/>
    </dxf>
    <dxf>
      <numFmt numFmtId="17" formatCode="#\ ?/?"/>
      <fill>
        <patternFill patternType="none">
          <fgColor indexed="64"/>
          <bgColor indexed="65"/>
        </patternFill>
      </fill>
      <protection locked="1" hidden="0"/>
    </dxf>
    <dxf>
      <numFmt numFmtId="179" formatCode="#\ ?/?;;"/>
      <fill>
        <patternFill patternType="none">
          <fgColor indexed="64"/>
          <bgColor indexed="65"/>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style="medium">
          <color indexed="64"/>
        </right>
        <top/>
        <bottom style="medium">
          <color indexed="64"/>
        </bottom>
      </border>
      <protection locked="1" hidden="0"/>
    </dxf>
    <dxf>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medium">
          <color indexed="64"/>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medium">
          <color indexed="64"/>
        </left>
        <right/>
        <top/>
        <bottom style="medium">
          <color indexed="64"/>
        </bottom>
      </border>
      <protection locked="1" hidden="0"/>
    </dxf>
    <dxf>
      <numFmt numFmtId="0" formatCode="General"/>
      <fill>
        <patternFill patternType="none">
          <fgColor indexed="64"/>
          <bgColor auto="1"/>
        </patternFill>
      </fill>
      <alignment horizontal="center" vertical="bottom" textRotation="0" wrapText="0" indent="0" justifyLastLine="0" shrinkToFit="0" readingOrder="0"/>
      <border diagonalUp="0" diagonalDown="0">
        <left style="medium">
          <color indexed="64"/>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numFmt numFmtId="1" formatCode="0"/>
      <fill>
        <patternFill patternType="none">
          <fgColor indexed="64"/>
          <bgColor indexed="65"/>
        </patternFill>
      </fill>
      <border diagonalUp="0" diagonalDown="0" outline="0">
        <left style="medium">
          <color indexed="64"/>
        </left>
        <right style="medium">
          <color indexed="64"/>
        </right>
        <top/>
        <bottom style="medium">
          <color indexed="64"/>
        </bottom>
      </border>
      <protection locked="1" hidden="0"/>
    </dxf>
    <dxf>
      <numFmt numFmtId="2" formatCode="0.00"/>
      <fill>
        <patternFill patternType="none">
          <fgColor indexed="64"/>
          <bgColor auto="1"/>
        </patternFill>
      </fill>
      <border diagonalUp="0" diagonalDown="0">
        <left style="medium">
          <color indexed="64"/>
        </left>
        <right style="medium">
          <color indexed="64"/>
        </right>
        <top/>
        <bottom/>
        <vertical/>
        <horizontal/>
      </border>
      <protection locked="1" hidden="0"/>
    </dxf>
    <dxf>
      <font>
        <b/>
        <i val="0"/>
        <strike val="0"/>
        <condense val="0"/>
        <extend val="0"/>
        <outline val="0"/>
        <shadow val="0"/>
        <u val="none"/>
        <vertAlign val="baseline"/>
        <sz val="11"/>
        <color theme="1"/>
        <name val="Calibri"/>
        <scheme val="minor"/>
      </font>
      <numFmt numFmtId="1" formatCode="0"/>
      <fill>
        <patternFill patternType="none">
          <fgColor indexed="64"/>
          <bgColor indexed="65"/>
        </patternFill>
      </fill>
      <border diagonalUp="0" diagonalDown="0" outline="0">
        <left/>
        <right/>
        <top/>
        <bottom/>
      </border>
      <protection locked="1" hidden="0"/>
    </dxf>
    <dxf>
      <font>
        <b/>
      </font>
      <numFmt numFmtId="171" formatCode="General;;"/>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border>
      <protection locked="1" hidden="0"/>
    </dxf>
    <dxf>
      <font>
        <b/>
      </font>
    </dxf>
    <dxf>
      <font>
        <b/>
      </font>
      <fill>
        <patternFill patternType="none">
          <fgColor rgb="FF000000"/>
          <bgColor auto="1"/>
        </patternFill>
      </fill>
      <protection locked="1" hidden="0"/>
    </dxf>
    <dxf>
      <border diagonalUp="0" diagonalDown="0">
        <left style="medium">
          <color rgb="FF000000"/>
        </left>
        <right style="medium">
          <color rgb="FF000000"/>
        </right>
        <top style="medium">
          <color rgb="FF000000"/>
        </top>
        <bottom style="medium">
          <color rgb="FF000000"/>
        </bottom>
      </border>
    </dxf>
    <dxf>
      <fill>
        <patternFill patternType="none">
          <fgColor rgb="FF000000"/>
          <bgColor auto="1"/>
        </patternFill>
      </fill>
      <protection locked="1" hidden="0"/>
    </dxf>
    <dxf>
      <fill>
        <patternFill patternType="none">
          <fgColor indexed="64"/>
          <bgColor auto="1"/>
        </patternFill>
      </fill>
      <alignment horizontal="general" vertical="bottom" textRotation="0" wrapText="1" indent="0" justifyLastLine="0" shrinkToFit="0" readingOrder="0"/>
      <protection locked="1" hidden="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border>
        <left/>
        <right/>
        <top/>
        <bottom/>
        <vertical/>
        <horizontal/>
      </border>
    </dxf>
    <dxf>
      <fill>
        <patternFill>
          <bgColor rgb="FFFF0000"/>
        </patternFill>
      </fill>
      <border>
        <left/>
        <right/>
        <top/>
        <bottom/>
        <vertical/>
        <horizontal/>
      </border>
    </dxf>
    <dxf>
      <font>
        <color theme="0"/>
      </font>
      <fill>
        <patternFill>
          <bgColor rgb="FFFF0000"/>
        </patternFill>
      </fill>
      <border>
        <vertical/>
        <horizontal/>
      </border>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ont>
        <color theme="0"/>
      </font>
      <fill>
        <patternFill>
          <bgColor rgb="FFFF0000"/>
        </patternFill>
      </fill>
      <border>
        <vertical/>
        <horizontal/>
      </border>
    </dxf>
    <dxf>
      <numFmt numFmtId="180" formatCode="#\ ?/?;;#\ ?/?"/>
    </dxf>
    <dxf>
      <numFmt numFmtId="180" formatCode="#\ ?/?;;#\ ?/?"/>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92D050"/>
        </patternFill>
      </fill>
    </dxf>
    <dxf>
      <numFmt numFmtId="181" formatCode="#\ ?/?;;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medium">
          <color indexed="64"/>
        </left>
        <right style="medium">
          <color indexed="64"/>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style="medium">
          <color indexed="64"/>
        </left>
        <right style="medium">
          <color indexed="64"/>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style="medium">
          <color indexed="64"/>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style="medium">
          <color indexed="64"/>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style="medium">
          <color indexed="64"/>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medium">
          <color indexed="64"/>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style="medium">
          <color indexed="64"/>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style="medium">
          <color indexed="64"/>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medium">
          <color indexed="64"/>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style="medium">
          <color indexed="64"/>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style="medium">
          <color indexed="64"/>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style="medium">
          <color indexed="64"/>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numFmt numFmtId="1" formatCode="0"/>
      <fill>
        <patternFill patternType="none">
          <fgColor indexed="64"/>
          <bgColor indexed="65"/>
        </patternFill>
      </fill>
      <border diagonalUp="0" diagonalDown="0" outline="0">
        <left/>
        <right style="medium">
          <color indexed="64"/>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9" formatCode=";;;"/>
      <fill>
        <patternFill patternType="none">
          <fgColor indexed="64"/>
          <bgColor auto="1"/>
        </patternFill>
      </fill>
      <border diagonalUp="0" diagonalDown="0">
        <left/>
        <right style="medium">
          <color indexed="64"/>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numFmt numFmtId="165" formatCode="0;;"/>
      <fill>
        <patternFill patternType="none">
          <fgColor indexed="64"/>
          <bgColor indexed="65"/>
        </patternFill>
      </fill>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5" formatCode="0;;"/>
      <fill>
        <patternFill patternType="none">
          <fgColor indexed="64"/>
          <bgColor auto="1"/>
        </patternFill>
      </fill>
      <border diagonalUp="0" diagonalDown="0">
        <left style="medium">
          <color indexed="64"/>
        </left>
        <right/>
        <top style="medium">
          <color auto="1"/>
        </top>
        <bottom style="medium">
          <color auto="1"/>
        </bottom>
        <vertical/>
        <horizontal style="medium">
          <color auto="1"/>
        </horizontal>
      </border>
      <protection locked="1" hidden="0"/>
    </dxf>
    <dxf>
      <font>
        <b/>
      </font>
      <protection locked="1" hidden="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protection locked="1" hidden="0"/>
    </dxf>
    <dxf>
      <font>
        <b/>
        <i val="0"/>
        <strike val="0"/>
        <condense val="0"/>
        <extend val="0"/>
        <outline val="0"/>
        <shadow val="0"/>
        <u val="none"/>
        <vertAlign val="baseline"/>
        <sz val="11"/>
        <color theme="0"/>
        <name val="Calibri"/>
        <scheme val="minor"/>
      </font>
      <fill>
        <patternFill patternType="solid">
          <fgColor theme="4"/>
          <bgColor theme="4"/>
        </patternFill>
      </fill>
      <alignment horizontal="general" vertical="bottom" textRotation="0" wrapText="1" indent="0" justifyLastLine="0" shrinkToFit="0" readingOrder="0"/>
      <protection locked="1" hidden="0"/>
    </dxf>
    <dxf>
      <font>
        <b/>
        <i val="0"/>
        <strike val="0"/>
        <condense val="0"/>
        <extend val="0"/>
        <outline val="0"/>
        <shadow val="0"/>
        <u val="none"/>
        <vertAlign val="baseline"/>
        <sz val="11"/>
        <color rgb="FF3F3F76"/>
        <name val="Calibri"/>
        <scheme val="minor"/>
      </font>
      <numFmt numFmtId="3" formatCode="#,##0"/>
      <fill>
        <patternFill patternType="none">
          <fgColor indexed="64"/>
          <bgColor indexed="65"/>
        </patternFill>
      </fill>
      <border diagonalUp="0" diagonalDown="0" outline="0">
        <left/>
        <right/>
        <top/>
        <bottom/>
      </border>
      <protection locked="1" hidden="0"/>
    </dxf>
    <dxf>
      <numFmt numFmtId="3" formatCode="#,##0"/>
      <protection locked="0" hidden="0"/>
    </dxf>
    <dxf>
      <font>
        <b/>
        <i/>
        <strike val="0"/>
        <condense val="0"/>
        <extend val="0"/>
        <outline val="0"/>
        <shadow val="0"/>
        <u val="none"/>
        <vertAlign val="baseline"/>
        <sz val="11"/>
        <color rgb="FF7F7F7F"/>
        <name val="Calibri"/>
        <scheme val="minor"/>
      </font>
      <fill>
        <patternFill patternType="none">
          <fgColor indexed="64"/>
          <bgColor indexed="65"/>
        </patternFill>
      </fill>
      <border diagonalUp="0" diagonalDown="0" outline="0">
        <left/>
        <right/>
        <top/>
        <bottom/>
      </border>
      <protection locked="1" hidden="0"/>
    </dxf>
    <dxf>
      <numFmt numFmtId="3" formatCode="#,##0"/>
      <fill>
        <patternFill patternType="none">
          <fgColor indexed="64"/>
          <bgColor auto="1"/>
        </patternFill>
      </fill>
      <protection locked="1" hidden="0"/>
    </dxf>
    <dxf>
      <font>
        <b/>
      </font>
      <protection locked="1" hidden="0"/>
    </dxf>
    <dxf>
      <border diagonalUp="0" diagonalDown="0">
        <left style="medium">
          <color indexed="64"/>
        </left>
        <right style="medium">
          <color indexed="64"/>
        </right>
        <top style="medium">
          <color indexed="64"/>
        </top>
        <bottom style="medium">
          <color indexed="64"/>
        </bottom>
      </border>
    </dxf>
    <dxf>
      <fill>
        <patternFill patternType="none">
          <fgColor indexed="64"/>
          <bgColor auto="1"/>
        </patternFill>
      </fill>
      <protection locked="1" hidden="0"/>
    </dxf>
    <dxf>
      <fill>
        <patternFill patternType="none">
          <fgColor indexed="64"/>
          <bgColor auto="1"/>
        </patternFill>
      </fill>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medium">
          <color indexed="64"/>
        </left>
        <right style="medium">
          <color indexed="64"/>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style="medium">
          <color indexed="64"/>
        </left>
        <right style="medium">
          <color indexed="64"/>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style="medium">
          <color indexed="64"/>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style="thin">
          <color auto="1"/>
        </left>
        <right style="medium">
          <color indexed="64"/>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style="medium">
          <color indexed="64"/>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style="medium">
          <color indexed="64"/>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medium">
          <color indexed="64"/>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medium">
          <color indexed="64"/>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style="medium">
          <color indexed="64"/>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medium">
          <color indexed="64"/>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6" formatCode="0&quot;.&quot;"/>
      <fill>
        <patternFill patternType="none">
          <fgColor indexed="64"/>
          <bgColor auto="1"/>
        </patternFill>
      </fill>
      <border diagonalUp="0" diagonalDown="0">
        <left style="medium">
          <color indexed="64"/>
        </left>
        <right style="thin">
          <color auto="1"/>
        </right>
        <top style="medium">
          <color auto="1"/>
        </top>
        <bottom style="medium">
          <color auto="1"/>
        </bottom>
        <vertical style="thin">
          <color auto="1"/>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style="medium">
          <color indexed="64"/>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style="medium">
          <color indexed="64"/>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70" formatCode="#.00"/>
      <fill>
        <patternFill patternType="none">
          <fgColor indexed="64"/>
          <bgColor auto="1"/>
        </patternFill>
      </fill>
      <border diagonalUp="0" diagonalDown="0">
        <left style="medium">
          <color indexed="64"/>
        </left>
        <right/>
        <top style="medium">
          <color auto="1"/>
        </top>
        <bottom style="medium">
          <color auto="1"/>
        </bottom>
      </border>
      <protection locked="1" hidden="0"/>
    </dxf>
    <dxf>
      <font>
        <b/>
        <i val="0"/>
        <strike val="0"/>
        <condense val="0"/>
        <extend val="0"/>
        <outline val="0"/>
        <shadow val="0"/>
        <u val="none"/>
        <vertAlign val="baseline"/>
        <sz val="11"/>
        <color theme="1"/>
        <name val="Calibri"/>
        <scheme val="minor"/>
      </font>
      <numFmt numFmtId="1" formatCode="0"/>
      <fill>
        <patternFill patternType="none">
          <fgColor indexed="64"/>
          <bgColor indexed="65"/>
        </patternFill>
      </fill>
      <border diagonalUp="0" diagonalDown="0" outline="0">
        <left/>
        <right style="medium">
          <color indexed="64"/>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9" formatCode=";;;"/>
      <fill>
        <patternFill patternType="none">
          <fgColor indexed="64"/>
          <bgColor auto="1"/>
        </patternFill>
      </fill>
      <border diagonalUp="0" diagonalDown="0">
        <left/>
        <right style="medium">
          <color indexed="64"/>
        </right>
        <top style="medium">
          <color auto="1"/>
        </top>
        <bottom style="medium">
          <color auto="1"/>
        </bottom>
      </border>
      <protection locked="1" hidden="0"/>
    </dxf>
    <dxf>
      <font>
        <b/>
        <i val="0"/>
        <strike val="0"/>
        <condense val="0"/>
        <extend val="0"/>
        <outline val="0"/>
        <shadow val="0"/>
        <u val="none"/>
        <vertAlign val="baseline"/>
        <sz val="11"/>
        <color theme="1"/>
        <name val="Calibri"/>
        <scheme val="minor"/>
      </font>
      <numFmt numFmtId="165" formatCode="0;;"/>
      <fill>
        <patternFill patternType="none">
          <fgColor indexed="64"/>
          <bgColor indexed="65"/>
        </patternFill>
      </fill>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1"/>
        <color theme="1"/>
        <name val="Calibri"/>
        <scheme val="minor"/>
      </font>
      <numFmt numFmtId="165" formatCode="0;;"/>
      <fill>
        <patternFill patternType="none">
          <fgColor indexed="64"/>
          <bgColor auto="1"/>
        </patternFill>
      </fill>
      <border diagonalUp="0" diagonalDown="0">
        <left style="medium">
          <color indexed="64"/>
        </left>
        <right/>
        <top style="medium">
          <color auto="1"/>
        </top>
        <bottom style="medium">
          <color auto="1"/>
        </bottom>
      </border>
      <protection locked="1" hidden="0"/>
    </dxf>
    <dxf>
      <font>
        <b/>
      </font>
      <fill>
        <patternFill patternType="none">
          <fgColor indexed="64"/>
          <bgColor auto="1"/>
        </patternFill>
      </fill>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scheme val="minor"/>
      </font>
      <fill>
        <patternFill patternType="none">
          <fgColor indexed="64"/>
          <bgColor auto="1"/>
        </patternFill>
      </fill>
      <alignment horizontal="general" vertical="bottom" textRotation="0" wrapText="1" indent="0" justifyLastLine="0" shrinkToFit="0" readingOrder="0"/>
      <protection locked="1" hidden="0"/>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style="medium">
          <color indexed="64"/>
        </right>
        <top/>
        <bottom style="medium">
          <color indexed="64"/>
        </bottom>
      </border>
      <protection locked="1" hidden="0"/>
    </dxf>
    <dxf>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medium">
          <color indexed="64"/>
        </right>
        <top/>
        <bottom/>
        <vertical/>
        <horizontal/>
      </border>
      <protection locked="1" hidden="0"/>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style="medium">
          <color indexed="64"/>
        </bottom>
      </border>
      <protection locked="1" hidden="0"/>
    </dxf>
    <dxf>
      <numFmt numFmtId="3" formatCode="#,##0"/>
      <fill>
        <patternFill patternType="none">
          <fgColor indexed="64"/>
          <bgColor auto="1"/>
        </patternFill>
      </fill>
      <protection locked="1" hidden="0"/>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style="medium">
          <color indexed="64"/>
        </bottom>
      </border>
      <protection locked="1" hidden="0"/>
    </dxf>
    <dxf>
      <numFmt numFmtId="13" formatCode="0%"/>
      <fill>
        <patternFill patternType="none">
          <fgColor indexed="64"/>
          <bgColor auto="1"/>
        </patternFill>
      </fill>
      <protection locked="1" hidden="0"/>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style="medium">
          <color indexed="64"/>
        </bottom>
      </border>
      <protection locked="1" hidden="0"/>
    </dxf>
    <dxf>
      <numFmt numFmtId="0" formatCode="General"/>
      <fill>
        <patternFill patternType="none">
          <fgColor indexed="64"/>
          <bgColor auto="1"/>
        </patternFill>
      </fill>
      <protection locked="1" hidden="0"/>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style="medium">
          <color indexed="64"/>
        </bottom>
      </border>
      <protection locked="1" hidden="0"/>
    </dxf>
    <dxf>
      <numFmt numFmtId="0" formatCode="General"/>
      <fill>
        <patternFill patternType="none">
          <fgColor indexed="64"/>
          <bgColor auto="1"/>
        </patternFill>
      </fill>
      <protection locked="1" hidden="0"/>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style="medium">
          <color indexed="64"/>
        </bottom>
      </border>
      <protection locked="1" hidden="0"/>
    </dxf>
    <dxf>
      <numFmt numFmtId="166" formatCode="0&quot;.&quot;"/>
      <fill>
        <patternFill patternType="none">
          <fgColor indexed="64"/>
          <bgColor auto="1"/>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style="medium">
          <color indexed="64"/>
        </bottom>
      </border>
      <protection locked="1" hidden="0"/>
    </dxf>
    <dxf>
      <numFmt numFmtId="168" formatCode=".0000"/>
      <fill>
        <patternFill patternType="none">
          <fgColor indexed="64"/>
          <bgColor auto="1"/>
        </patternFill>
      </fill>
      <alignment horizontal="general" vertical="bottom" textRotation="0" wrapText="0" indent="0" justifyLastLine="0" shrinkToFit="0" readingOrder="0"/>
      <protection locked="1" hidden="0"/>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style="medium">
          <color indexed="64"/>
        </bottom>
      </border>
      <protection locked="1" hidden="0"/>
    </dxf>
    <dxf>
      <numFmt numFmtId="0" formatCode="General"/>
      <fill>
        <patternFill patternType="none">
          <fgColor indexed="64"/>
          <bgColor auto="1"/>
        </patternFill>
      </fill>
      <border diagonalUp="0" diagonalDown="0">
        <left style="medium">
          <color indexed="64"/>
        </left>
        <right/>
        <top/>
        <bottom/>
        <vertical/>
        <horizontal/>
      </border>
      <protection locked="1" hidden="0"/>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style="medium">
          <color indexed="64"/>
        </right>
        <top/>
        <bottom style="medium">
          <color indexed="64"/>
        </bottom>
      </border>
      <protection locked="1" hidden="0"/>
    </dxf>
    <dxf>
      <numFmt numFmtId="169" formatCode=";;;"/>
      <fill>
        <patternFill patternType="none">
          <fgColor indexed="64"/>
          <bgColor auto="1"/>
        </patternFill>
      </fill>
      <border diagonalUp="0" diagonalDown="0">
        <left/>
        <right style="medium">
          <color indexed="64"/>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medium">
          <color indexed="64"/>
        </left>
        <right/>
        <top/>
        <bottom style="medium">
          <color indexed="64"/>
        </bottom>
      </border>
      <protection locked="1" hidden="0"/>
    </dxf>
    <dxf>
      <numFmt numFmtId="171" formatCode="General;;"/>
      <fill>
        <patternFill patternType="none">
          <fgColor indexed="64"/>
          <bgColor auto="1"/>
        </patternFill>
      </fill>
      <border diagonalUp="0" diagonalDown="0">
        <left style="medium">
          <color indexed="64"/>
        </left>
        <right/>
        <top style="medium">
          <color auto="1"/>
        </top>
        <bottom style="medium">
          <color auto="1"/>
        </bottom>
        <vertical/>
        <horizontal style="medium">
          <color auto="1"/>
        </horizontal>
      </border>
      <protection locked="1" hidden="0"/>
    </dxf>
    <dxf>
      <font>
        <b/>
      </font>
      <fill>
        <patternFill patternType="none">
          <fgColor indexed="64"/>
          <bgColor auto="1"/>
        </patternFill>
      </fill>
      <protection locked="1" hidden="0"/>
    </dxf>
    <dxf>
      <fill>
        <patternFill patternType="none">
          <fgColor indexed="64"/>
          <bgColor auto="1"/>
        </patternFill>
      </fill>
      <protection locked="1" hidden="0"/>
    </dxf>
    <dxf>
      <font>
        <b/>
        <i val="0"/>
        <strike val="0"/>
        <condense val="0"/>
        <extend val="0"/>
        <outline val="0"/>
        <shadow val="0"/>
        <u val="none"/>
        <vertAlign val="baseline"/>
        <sz val="11"/>
        <color theme="0"/>
        <name val="Calibri"/>
        <scheme val="minor"/>
      </font>
      <fill>
        <patternFill patternType="none">
          <fgColor indexed="64"/>
          <bgColor auto="1"/>
        </patternFill>
      </fill>
      <alignment horizontal="general" vertical="bottom" textRotation="0" wrapText="1" indent="0" justifyLastLine="0" shrinkToFit="0" readingOrder="0"/>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style="medium">
          <color indexed="64"/>
        </right>
        <top/>
        <bottom style="medium">
          <color indexed="64"/>
        </bottom>
      </border>
      <protection locked="1" hidden="0"/>
    </dxf>
    <dxf>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medium">
          <color indexed="64"/>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style="medium">
          <color indexed="64"/>
        </bottom>
      </border>
      <protection locked="1" hidden="0"/>
    </dxf>
    <dxf>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medium">
          <color indexed="64"/>
        </left>
        <right/>
        <top/>
        <bottom style="medium">
          <color indexed="64"/>
        </bottom>
      </border>
      <protection locked="1" hidden="0"/>
    </dxf>
    <dxf>
      <numFmt numFmtId="0" formatCode="General"/>
      <fill>
        <patternFill patternType="none">
          <fgColor indexed="64"/>
          <bgColor auto="1"/>
        </patternFill>
      </fill>
      <alignment horizontal="center" vertical="bottom" textRotation="0" wrapText="0" indent="0" justifyLastLine="0" shrinkToFit="0" readingOrder="0"/>
      <border diagonalUp="0" diagonalDown="0">
        <left style="medium">
          <color indexed="64"/>
        </left>
        <right/>
        <top style="medium">
          <color auto="1"/>
        </top>
        <bottom style="medium">
          <color auto="1"/>
        </bottom>
        <vertical/>
        <horizontal style="medium">
          <color auto="1"/>
        </horizontal>
      </border>
      <protection locked="1" hidden="0"/>
    </dxf>
    <dxf>
      <font>
        <b/>
        <i val="0"/>
        <strike val="0"/>
        <condense val="0"/>
        <extend val="0"/>
        <outline val="0"/>
        <shadow val="0"/>
        <u val="none"/>
        <vertAlign val="baseline"/>
        <sz val="11"/>
        <color theme="1"/>
        <name val="Calibri"/>
        <scheme val="minor"/>
      </font>
      <numFmt numFmtId="1" formatCode="0"/>
      <fill>
        <patternFill patternType="none">
          <fgColor indexed="64"/>
          <bgColor indexed="65"/>
        </patternFill>
      </fill>
      <border diagonalUp="0" diagonalDown="0" outline="0">
        <left/>
        <right/>
        <top/>
        <bottom style="medium">
          <color indexed="64"/>
        </bottom>
      </border>
      <protection locked="1" hidden="0"/>
    </dxf>
    <dxf>
      <numFmt numFmtId="172" formatCode="0.00;;"/>
      <fill>
        <patternFill patternType="none">
          <fgColor indexed="64"/>
          <bgColor indexed="65"/>
        </patternFill>
      </fill>
      <protection locked="1" hidden="0"/>
    </dxf>
    <dxf>
      <font>
        <b/>
        <i val="0"/>
        <strike val="0"/>
        <condense val="0"/>
        <extend val="0"/>
        <outline val="0"/>
        <shadow val="0"/>
        <u val="none"/>
        <vertAlign val="baseline"/>
        <sz val="11"/>
        <color theme="1"/>
        <name val="Calibri"/>
        <scheme val="minor"/>
      </font>
      <numFmt numFmtId="1" formatCode="0"/>
      <fill>
        <patternFill patternType="none">
          <fgColor indexed="64"/>
          <bgColor indexed="65"/>
        </patternFill>
      </fill>
      <border diagonalUp="0" diagonalDown="0" outline="0">
        <left style="medium">
          <color indexed="64"/>
        </left>
        <right/>
        <top/>
        <bottom style="medium">
          <color indexed="64"/>
        </bottom>
      </border>
      <protection locked="1" hidden="0"/>
    </dxf>
    <dxf>
      <numFmt numFmtId="172" formatCode="0.00;;"/>
      <fill>
        <patternFill patternType="none">
          <fgColor indexed="64"/>
          <bgColor auto="1"/>
        </patternFill>
      </fill>
      <border diagonalUp="0" diagonalDown="0">
        <left style="medium">
          <color indexed="64"/>
        </left>
        <right/>
        <top/>
        <bottom/>
        <vertical/>
        <horizontal/>
      </border>
      <protection locked="1" hidden="0"/>
    </dxf>
    <dxf>
      <font>
        <b/>
        <i val="0"/>
        <strike val="0"/>
        <condense val="0"/>
        <extend val="0"/>
        <outline val="0"/>
        <shadow val="0"/>
        <u val="none"/>
        <vertAlign val="baseline"/>
        <sz val="11"/>
        <color theme="1"/>
        <name val="Calibri"/>
        <scheme val="minor"/>
      </font>
      <numFmt numFmtId="1" formatCode="0"/>
      <fill>
        <patternFill patternType="none">
          <fgColor indexed="64"/>
          <bgColor indexed="65"/>
        </patternFill>
      </fill>
      <border diagonalUp="0" diagonalDown="0" outline="0">
        <left/>
        <right/>
        <top/>
        <bottom/>
      </border>
      <protection locked="1" hidden="0"/>
    </dxf>
    <dxf>
      <numFmt numFmtId="3" formatCode="#,##0"/>
      <fill>
        <patternFill patternType="none">
          <fgColor indexed="64"/>
          <bgColor indexed="65"/>
        </patternFill>
      </fill>
      <protection locked="0" hidden="0"/>
    </dxf>
    <dxf>
      <font>
        <b/>
        <i val="0"/>
        <strike val="0"/>
        <condense val="0"/>
        <extend val="0"/>
        <outline val="0"/>
        <shadow val="0"/>
        <u val="none"/>
        <vertAlign val="baseline"/>
        <sz val="11"/>
        <color theme="1"/>
        <name val="Calibri"/>
        <scheme val="minor"/>
      </font>
      <numFmt numFmtId="1" formatCode="0"/>
      <fill>
        <patternFill patternType="none">
          <fgColor indexed="64"/>
          <bgColor indexed="65"/>
        </patternFill>
      </fill>
      <border diagonalUp="0" diagonalDown="0" outline="0">
        <left/>
        <right/>
        <top/>
        <bottom/>
      </border>
      <protection locked="1" hidden="0"/>
    </dxf>
    <dxf>
      <protection locked="0" hidden="0"/>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border>
      <protection locked="1" hidden="0"/>
    </dxf>
    <dxf>
      <border diagonalUp="0" diagonalDown="0">
        <left style="medium">
          <color indexed="64"/>
        </left>
        <right/>
        <top/>
        <bottom/>
      </border>
      <protection locked="0" hidden="0"/>
    </dxf>
    <dxf>
      <font>
        <b/>
      </font>
      <fill>
        <patternFill patternType="none">
          <fgColor indexed="64"/>
          <bgColor auto="1"/>
        </patternFill>
      </fill>
      <protection locked="1" hidden="0"/>
    </dxf>
    <dxf>
      <border diagonalUp="0" diagonalDown="0">
        <left style="medium">
          <color indexed="64"/>
        </left>
        <right style="medium">
          <color indexed="64"/>
        </right>
        <top style="medium">
          <color indexed="64"/>
        </top>
        <bottom style="medium">
          <color indexed="64"/>
        </bottom>
      </border>
    </dxf>
    <dxf>
      <fill>
        <patternFill patternType="none">
          <fgColor indexed="64"/>
          <bgColor auto="1"/>
        </patternFill>
      </fill>
      <protection locked="1" hidden="0"/>
    </dxf>
    <dxf>
      <fill>
        <patternFill patternType="none">
          <fgColor indexed="64"/>
          <bgColor auto="1"/>
        </patternFill>
      </fill>
      <alignment horizontal="general" vertical="bottom" textRotation="0" wrapText="1" indent="0" justifyLastLine="0" shrinkToFit="0" readingOrder="0"/>
      <protection locked="1" hidden="0"/>
    </dxf>
    <dxf>
      <fill>
        <patternFill patternType="lightGrid"/>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ont>
        <color theme="0"/>
      </font>
      <fill>
        <patternFill>
          <bgColor rgb="FFFF0000"/>
        </patternFill>
      </fill>
      <border>
        <vertical/>
        <horizontal/>
      </border>
    </dxf>
    <dxf>
      <numFmt numFmtId="180" formatCode="#\ ?/?;;#\ ?/?"/>
    </dxf>
    <dxf>
      <numFmt numFmtId="180" formatCode="#\ ?/?;;#\ ?/?"/>
    </dxf>
    <dxf>
      <fill>
        <patternFill>
          <bgColor rgb="FFFF0000"/>
        </patternFill>
      </fill>
      <border>
        <left/>
        <right/>
        <top/>
        <bottom/>
        <vertical/>
        <horizontal/>
      </border>
    </dxf>
    <dxf>
      <fill>
        <patternFill>
          <bgColor rgb="FFFF0000"/>
        </patternFill>
      </fill>
      <border>
        <left/>
        <right/>
        <top/>
        <bottom/>
        <vertical/>
        <horizontal/>
      </border>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92D050"/>
        </patternFill>
      </fill>
    </dxf>
    <dxf>
      <numFmt numFmtId="181" formatCode="#\ ?/?;;0"/>
    </dxf>
  </dxfs>
  <tableStyles count="0" defaultTableStyle="TableStyleMedium2" defaultPivotStyle="PivotStyleLight16"/>
  <colors>
    <mruColors>
      <color rgb="FFFFFFBD"/>
      <color rgb="FFD0EBB3"/>
      <color rgb="FFFFF8E5"/>
      <color rgb="FF63C384"/>
      <color rgb="FF92D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2</xdr:col>
      <xdr:colOff>142876</xdr:colOff>
      <xdr:row>5</xdr:row>
      <xdr:rowOff>28576</xdr:rowOff>
    </xdr:from>
    <xdr:to>
      <xdr:col>9</xdr:col>
      <xdr:colOff>695325</xdr:colOff>
      <xdr:row>34</xdr:row>
      <xdr:rowOff>152754</xdr:rowOff>
    </xdr:to>
    <xdr:pic>
      <xdr:nvPicPr>
        <xdr:cNvPr id="2" name="Grafik 1"/>
        <xdr:cNvPicPr>
          <a:picLocks noChangeAspect="1"/>
        </xdr:cNvPicPr>
      </xdr:nvPicPr>
      <xdr:blipFill>
        <a:blip xmlns:r="http://schemas.openxmlformats.org/officeDocument/2006/relationships" r:embed="rId1"/>
        <a:stretch>
          <a:fillRect/>
        </a:stretch>
      </xdr:blipFill>
      <xdr:spPr>
        <a:xfrm>
          <a:off x="1666876" y="1828801"/>
          <a:ext cx="5886449" cy="5648678"/>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533400</xdr:colOff>
          <xdr:row>5</xdr:row>
          <xdr:rowOff>171450</xdr:rowOff>
        </xdr:from>
        <xdr:to>
          <xdr:col>5</xdr:col>
          <xdr:colOff>685800</xdr:colOff>
          <xdr:row>35</xdr:row>
          <xdr:rowOff>66675</xdr:rowOff>
        </xdr:to>
        <xdr:sp macro="" textlink="">
          <xdr:nvSpPr>
            <xdr:cNvPr id="4100" name="Object 4" hidden="1">
              <a:extLst>
                <a:ext uri="{63B3BB69-23CF-44E3-9099-C40C66FF867C}">
                  <a14:compatExt spid="_x0000_s4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ables/table1.xml><?xml version="1.0" encoding="utf-8"?>
<table xmlns="http://schemas.openxmlformats.org/spreadsheetml/2006/main" id="1" name="Grunddaten" displayName="Grunddaten" ref="B6:J22" totalsRowCount="1" headerRowDxfId="734" dataDxfId="733" totalsRowDxfId="731" tableBorderDxfId="732" headerRowCellStyle="Standard" dataCellStyle="Standard" totalsRowCellStyle="Standard">
  <tableColumns count="9">
    <tableColumn id="1" name="Partei/Wählergruppe" totalsRowLabel="Summe" dataDxfId="730" totalsRowDxfId="729" dataCellStyle="Benutzereingabe"/>
    <tableColumn id="3" name="Sitze im Hauptorgan" totalsRowFunction="sum" dataDxfId="728" totalsRowDxfId="727" dataCellStyle="Benutzereingabe"/>
    <tableColumn id="2" name="AG?" dataDxfId="726" totalsRowDxfId="725" dataCellStyle="Benutzereingabe"/>
    <tableColumn id="4" name="Proporzgenaue Zahl Ausschuss" totalsRowFunction="sum" dataDxfId="724" totalsRowDxfId="723" dataCellStyle="Standard">
      <calculatedColumnFormula>Grunddaten[[#This Row],[Sitze im Hauptorgan]]/Grunddaten[[#Totals],[Sitze im Hauptorgan]]*Sitze_Ausschuss</calculatedColumnFormula>
    </tableColumn>
    <tableColumn id="10" name="Sicher_x000a_vertreten?" dataDxfId="722" totalsRowDxfId="721">
      <calculatedColumnFormula>OR(Grunddaten[[#This Row],[Proporzgenaue Zahl Ausschuss]]&gt;=1,Grunddaten[[#This Row],[Sitze im Hauptorgan]]&gt;Sitze_Hauptorgan/(1+Sitze_Ausschuss))</calculatedColumnFormula>
    </tableColumn>
    <tableColumn id="6" name="Quoten-_x000a_kriterium" totalsRowLabel="---" dataDxfId="720" totalsRowDxfId="719" dataCellStyle="Standard">
      <calculatedColumnFormula>IF(ROUNDDOWN(Grunddaten[[#This Row],[Proporzgenaue Zahl Ausschuss]],0)&lt;&gt;ROUNDUP(Grunddaten[[#This Row],[Proporzgenaue Zahl Ausschuss]],0), ROUNDDOWN(Grunddaten[[#This Row],[Proporzgenaue Zahl Ausschuss]],0)&amp;" oder "&amp;ROUNDUP(Grunddaten[[#This Row],[Proporzgenaue Zahl Ausschuss]],0),ROUND(Grunddaten[[#This Row],[Proporzgenaue Zahl Ausschuss]],0))</calculatedColumnFormula>
    </tableColumn>
    <tableColumn id="5" name="H/N" totalsRowLabel="---" dataDxfId="718" totalsRowDxfId="717" dataCellStyle="Standard">
      <calculatedColumnFormula>"OK"</calculatedColumnFormula>
    </tableColumn>
    <tableColumn id="7" name="SL/S" totalsRowLabel="---" dataDxfId="716" totalsRowDxfId="715" dataCellStyle="Standard">
      <calculatedColumnFormula>IF(TabSLS[[#This Row],[QK verletzt]],"NOK","OK")</calculatedColumnFormula>
    </tableColumn>
    <tableColumn id="8" name="d'H" totalsRowLabel="---" dataDxfId="714" totalsRowDxfId="713" dataCellStyle="Standard">
      <calculatedColumnFormula>IF(TabDH[[#This Row],[QK verletzt]],"NOK","OK")</calculatedColumnFormula>
    </tableColumn>
  </tableColumns>
  <tableStyleInfo name="TableStyleMedium18" showFirstColumn="0" showLastColumn="0" showRowStripes="1" showColumnStripes="0"/>
</table>
</file>

<file path=xl/tables/table10.xml><?xml version="1.0" encoding="utf-8"?>
<table xmlns="http://schemas.openxmlformats.org/spreadsheetml/2006/main" id="11" name="TabDH12" displayName="TabDH12" ref="CK6:EV22" totalsRowCount="1" headerRowDxfId="205" dataDxfId="204" totalsRowDxfId="203">
  <autoFilter ref="CK6:EV2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autoFilter>
  <tableColumns count="64">
    <tableColumn id="1" name="Sitze" totalsRowFunction="sum" dataDxfId="202" totalsRowDxfId="201">
      <calculatedColumnFormula>COUNTIF(TabDH12[[#This Row],[SP1]:[SP19]],"SITZ")</calculatedColumnFormula>
    </tableColumn>
    <tableColumn id="2" name="Patt Auflösung" totalsRowFunction="sum" dataDxfId="200" totalsRowDxfId="199">
      <calculatedColumnFormula>IF(TabDH12[[#This Row],[Patt]],IF(Pattaufloesung="Los-Chance",TabDH12[[#This Row],[Los Chance]],TabDH12[[#This Row],[Pattgewinn]]+0),0)</calculatedColumnFormula>
    </tableColumn>
    <tableColumn id="3" name=":1" dataDxfId="198" totalsRowDxfId="197">
      <calculatedColumnFormula>Grunddaten7[[#This Row],[Sitze im Hauptorgan]]/_xlfn.NUMBERVALUE(MID(INDEX(TabDH12[[#Headers],[:1]:[:19]],COLUMN()-COLUMN(TabDH12[[#Headers],[:1]])+1),2,3))</calculatedColumnFormula>
    </tableColumn>
    <tableColumn id="4" name=":2" dataDxfId="196" totalsRowDxfId="195">
      <calculatedColumnFormula>Grunddaten7[[#This Row],[Sitze im Hauptorgan]]/_xlfn.NUMBERVALUE(MID(INDEX(TabDH12[[#Headers],[:1]:[:19]],COLUMN()-COLUMN(TabDH12[[#Headers],[:1]])+1),2,3))</calculatedColumnFormula>
    </tableColumn>
    <tableColumn id="5" name=":3" dataDxfId="194" totalsRowDxfId="193">
      <calculatedColumnFormula>Grunddaten7[[#This Row],[Sitze im Hauptorgan]]/_xlfn.NUMBERVALUE(MID(INDEX(TabDH12[[#Headers],[:1]:[:19]],COLUMN()-COLUMN(TabDH12[[#Headers],[:1]])+1),2,3))</calculatedColumnFormula>
    </tableColumn>
    <tableColumn id="6" name=":4" dataDxfId="192" totalsRowDxfId="191">
      <calculatedColumnFormula>Grunddaten7[[#This Row],[Sitze im Hauptorgan]]/_xlfn.NUMBERVALUE(MID(INDEX(TabDH12[[#Headers],[:1]:[:19]],COLUMN()-COLUMN(TabDH12[[#Headers],[:1]])+1),2,3))</calculatedColumnFormula>
    </tableColumn>
    <tableColumn id="7" name=":5" dataDxfId="190" totalsRowDxfId="189">
      <calculatedColumnFormula>Grunddaten7[[#This Row],[Sitze im Hauptorgan]]/_xlfn.NUMBERVALUE(MID(INDEX(TabDH12[[#Headers],[:1]:[:19]],COLUMN()-COLUMN(TabDH12[[#Headers],[:1]])+1),2,3))</calculatedColumnFormula>
    </tableColumn>
    <tableColumn id="8" name=":6" dataDxfId="188" totalsRowDxfId="187">
      <calculatedColumnFormula>Grunddaten7[[#This Row],[Sitze im Hauptorgan]]/_xlfn.NUMBERVALUE(MID(INDEX(TabDH12[[#Headers],[:1]:[:19]],COLUMN()-COLUMN(TabDH12[[#Headers],[:1]])+1),2,3))</calculatedColumnFormula>
    </tableColumn>
    <tableColumn id="9" name=":7" dataDxfId="186" totalsRowDxfId="185">
      <calculatedColumnFormula>Grunddaten7[[#This Row],[Sitze im Hauptorgan]]/_xlfn.NUMBERVALUE(MID(INDEX(TabDH12[[#Headers],[:1]:[:19]],COLUMN()-COLUMN(TabDH12[[#Headers],[:1]])+1),2,3))</calculatedColumnFormula>
    </tableColumn>
    <tableColumn id="10" name=":8" dataDxfId="184" totalsRowDxfId="183">
      <calculatedColumnFormula>Grunddaten7[[#This Row],[Sitze im Hauptorgan]]/_xlfn.NUMBERVALUE(MID(INDEX(TabDH12[[#Headers],[:1]:[:19]],COLUMN()-COLUMN(TabDH12[[#Headers],[:1]])+1),2,3))</calculatedColumnFormula>
    </tableColumn>
    <tableColumn id="11" name=":9" dataDxfId="182" totalsRowDxfId="181">
      <calculatedColumnFormula>Grunddaten7[[#This Row],[Sitze im Hauptorgan]]/_xlfn.NUMBERVALUE(MID(INDEX(TabDH12[[#Headers],[:1]:[:19]],COLUMN()-COLUMN(TabDH12[[#Headers],[:1]])+1),2,3))</calculatedColumnFormula>
    </tableColumn>
    <tableColumn id="12" name=":10" dataDxfId="180" totalsRowDxfId="179">
      <calculatedColumnFormula>Grunddaten7[[#This Row],[Sitze im Hauptorgan]]/_xlfn.NUMBERVALUE(MID(INDEX(TabDH12[[#Headers],[:1]:[:19]],COLUMN()-COLUMN(TabDH12[[#Headers],[:1]])+1),2,3))</calculatedColumnFormula>
    </tableColumn>
    <tableColumn id="13" name=":11" dataDxfId="178" totalsRowDxfId="177">
      <calculatedColumnFormula>Grunddaten7[[#This Row],[Sitze im Hauptorgan]]/_xlfn.NUMBERVALUE(MID(INDEX(TabDH12[[#Headers],[:1]:[:19]],COLUMN()-COLUMN(TabDH12[[#Headers],[:1]])+1),2,3))</calculatedColumnFormula>
    </tableColumn>
    <tableColumn id="14" name=":12" dataDxfId="176" totalsRowDxfId="175">
      <calculatedColumnFormula>Grunddaten7[[#This Row],[Sitze im Hauptorgan]]/_xlfn.NUMBERVALUE(MID(INDEX(TabDH12[[#Headers],[:1]:[:19]],COLUMN()-COLUMN(TabDH12[[#Headers],[:1]])+1),2,3))</calculatedColumnFormula>
    </tableColumn>
    <tableColumn id="15" name=":13" dataDxfId="174" totalsRowDxfId="173">
      <calculatedColumnFormula>Grunddaten7[[#This Row],[Sitze im Hauptorgan]]/_xlfn.NUMBERVALUE(MID(INDEX(TabDH12[[#Headers],[:1]:[:19]],COLUMN()-COLUMN(TabDH12[[#Headers],[:1]])+1),2,3))</calculatedColumnFormula>
    </tableColumn>
    <tableColumn id="16" name=":14" dataDxfId="172" totalsRowDxfId="171">
      <calculatedColumnFormula>Grunddaten7[[#This Row],[Sitze im Hauptorgan]]/_xlfn.NUMBERVALUE(MID(INDEX(TabDH12[[#Headers],[:1]:[:19]],COLUMN()-COLUMN(TabDH12[[#Headers],[:1]])+1),2,3))</calculatedColumnFormula>
    </tableColumn>
    <tableColumn id="17" name=":15" dataDxfId="170" totalsRowDxfId="169">
      <calculatedColumnFormula>Grunddaten7[[#This Row],[Sitze im Hauptorgan]]/_xlfn.NUMBERVALUE(MID(INDEX(TabDH12[[#Headers],[:1]:[:19]],COLUMN()-COLUMN(TabDH12[[#Headers],[:1]])+1),2,3))</calculatedColumnFormula>
    </tableColumn>
    <tableColumn id="18" name=":16" dataDxfId="168" totalsRowDxfId="167">
      <calculatedColumnFormula>Grunddaten7[[#This Row],[Sitze im Hauptorgan]]/_xlfn.NUMBERVALUE(MID(INDEX(TabDH12[[#Headers],[:1]:[:19]],COLUMN()-COLUMN(TabDH12[[#Headers],[:1]])+1),2,3))</calculatedColumnFormula>
    </tableColumn>
    <tableColumn id="19" name=":17" dataDxfId="166" totalsRowDxfId="165">
      <calculatedColumnFormula>Grunddaten7[[#This Row],[Sitze im Hauptorgan]]/_xlfn.NUMBERVALUE(MID(INDEX(TabDH12[[#Headers],[:1]:[:19]],COLUMN()-COLUMN(TabDH12[[#Headers],[:1]])+1),2,3))</calculatedColumnFormula>
    </tableColumn>
    <tableColumn id="20" name=":18" dataDxfId="164" totalsRowDxfId="163">
      <calculatedColumnFormula>Grunddaten7[[#This Row],[Sitze im Hauptorgan]]/_xlfn.NUMBERVALUE(MID(INDEX(TabDH12[[#Headers],[:1]:[:19]],COLUMN()-COLUMN(TabDH12[[#Headers],[:1]])+1),2,3))</calculatedColumnFormula>
    </tableColumn>
    <tableColumn id="21" name=":19" dataDxfId="162" totalsRowDxfId="161">
      <calculatedColumnFormula>Grunddaten7[[#This Row],[Sitze im Hauptorgan]]/_xlfn.NUMBERVALUE(MID(INDEX(TabDH12[[#Headers],[:1]:[:19]],COLUMN()-COLUMN(TabDH12[[#Headers],[:1]])+1),2,3))</calculatedColumnFormula>
    </tableColumn>
    <tableColumn id="22" name="R1" dataDxfId="160" totalsRowDxfId="159">
      <calculatedColumnFormula>_xlfn.RANK.EQ(TabDH12[[#This Row],[:1]],TabDH12[[:1]:[:19]],0)</calculatedColumnFormula>
    </tableColumn>
    <tableColumn id="23" name="R2" dataDxfId="158" totalsRowDxfId="157">
      <calculatedColumnFormula>_xlfn.RANK.EQ(TabDH12[[#This Row],[:2]],TabDH12[[:1]:[:19]],0)</calculatedColumnFormula>
    </tableColumn>
    <tableColumn id="24" name="R3" dataDxfId="156" totalsRowDxfId="155">
      <calculatedColumnFormula>_xlfn.RANK.EQ(TabDH12[[#This Row],[:3]],TabDH12[[:1]:[:19]],0)</calculatedColumnFormula>
    </tableColumn>
    <tableColumn id="25" name="R4" dataDxfId="154" totalsRowDxfId="153">
      <calculatedColumnFormula>_xlfn.RANK.EQ(TabDH12[[#This Row],[:4]],TabDH12[[:1]:[:19]],0)</calculatedColumnFormula>
    </tableColumn>
    <tableColumn id="26" name="R5" dataDxfId="152" totalsRowDxfId="151">
      <calculatedColumnFormula>_xlfn.RANK.EQ(TabDH12[[#This Row],[:5]],TabDH12[[:1]:[:19]],0)</calculatedColumnFormula>
    </tableColumn>
    <tableColumn id="27" name="R6" dataDxfId="150" totalsRowDxfId="149">
      <calculatedColumnFormula>_xlfn.RANK.EQ(TabDH12[[#This Row],[:6]],TabDH12[[:1]:[:19]],0)</calculatedColumnFormula>
    </tableColumn>
    <tableColumn id="28" name="R7" dataDxfId="148" totalsRowDxfId="147">
      <calculatedColumnFormula>_xlfn.RANK.EQ(TabDH12[[#This Row],[:7]],TabDH12[[:1]:[:19]],0)</calculatedColumnFormula>
    </tableColumn>
    <tableColumn id="29" name="R8" dataDxfId="146" totalsRowDxfId="145">
      <calculatedColumnFormula>_xlfn.RANK.EQ(TabDH12[[#This Row],[:8]],TabDH12[[:1]:[:19]],0)</calculatedColumnFormula>
    </tableColumn>
    <tableColumn id="30" name="R9" dataDxfId="144" totalsRowDxfId="143">
      <calculatedColumnFormula>_xlfn.RANK.EQ(TabDH12[[#This Row],[:9]],TabDH12[[:1]:[:19]],0)</calculatedColumnFormula>
    </tableColumn>
    <tableColumn id="31" name="R10" dataDxfId="142" totalsRowDxfId="141">
      <calculatedColumnFormula>_xlfn.RANK.EQ(TabDH12[[#This Row],[:10]],TabDH12[[:1]:[:19]],0)</calculatedColumnFormula>
    </tableColumn>
    <tableColumn id="32" name="R11" dataDxfId="140" totalsRowDxfId="139">
      <calculatedColumnFormula>_xlfn.RANK.EQ(TabDH12[[#This Row],[:11]],TabDH12[[:1]:[:19]],0)</calculatedColumnFormula>
    </tableColumn>
    <tableColumn id="33" name="R12" dataDxfId="138" totalsRowDxfId="137">
      <calculatedColumnFormula>_xlfn.RANK.EQ(TabDH12[[#This Row],[:12]],TabDH12[[:1]:[:19]],0)</calculatedColumnFormula>
    </tableColumn>
    <tableColumn id="34" name="R13" dataDxfId="136" totalsRowDxfId="135">
      <calculatedColumnFormula>_xlfn.RANK.EQ(TabDH12[[#This Row],[:13]],TabDH12[[:1]:[:19]],0)</calculatedColumnFormula>
    </tableColumn>
    <tableColumn id="35" name="R14" dataDxfId="134" totalsRowDxfId="133">
      <calculatedColumnFormula>_xlfn.RANK.EQ(TabDH12[[#This Row],[:14]],TabDH12[[:1]:[:19]],0)</calculatedColumnFormula>
    </tableColumn>
    <tableColumn id="36" name="R15" dataDxfId="132" totalsRowDxfId="131">
      <calculatedColumnFormula>_xlfn.RANK.EQ(TabDH12[[#This Row],[:15]],TabDH12[[:1]:[:19]],0)</calculatedColumnFormula>
    </tableColumn>
    <tableColumn id="37" name="R16" dataDxfId="130" totalsRowDxfId="129">
      <calculatedColumnFormula>_xlfn.RANK.EQ(TabDH12[[#This Row],[:16]],TabDH12[[:1]:[:19]],0)</calculatedColumnFormula>
    </tableColumn>
    <tableColumn id="38" name="R17" dataDxfId="128" totalsRowDxfId="127">
      <calculatedColumnFormula>_xlfn.RANK.EQ(TabDH12[[#This Row],[:17]],TabDH12[[:1]:[:19]],0)</calculatedColumnFormula>
    </tableColumn>
    <tableColumn id="39" name="R18" dataDxfId="126" totalsRowDxfId="125">
      <calculatedColumnFormula>_xlfn.RANK.EQ(TabDH12[[#This Row],[:18]],TabDH12[[:1]:[:19]],0)</calculatedColumnFormula>
    </tableColumn>
    <tableColumn id="40" name="R19" dataDxfId="124" totalsRowDxfId="123">
      <calculatedColumnFormula>_xlfn.RANK.EQ(TabDH12[[#This Row],[:19]],TabDH12[[:1]:[:19]],0)</calculatedColumnFormula>
    </tableColumn>
    <tableColumn id="41" name="SP1" dataDxfId="122" totalsRowDxfId="121">
      <calculatedColumnFormula>IF(TabDH12[[#This Row],[R1]]&lt;=Sitze_Ausschuss,IF(TabDH12[[#This Row],[R1]]+COUNTIF(TabDH12[[R1]:[R19]],TabDH12[[#This Row],[R1]])-1&lt;=Sitze_Ausschuss,"SITZ","PATT"),"")</calculatedColumnFormula>
    </tableColumn>
    <tableColumn id="42" name="SP2" dataDxfId="120" totalsRowDxfId="119">
      <calculatedColumnFormula>IF(TabDH12[[#This Row],[R2]]&lt;=Sitze_Ausschuss,IF(TabDH12[[#This Row],[R2]]+COUNTIF(TabDH12[[R1]:[R19]],TabDH12[[#This Row],[R2]])-1&lt;=Sitze_Ausschuss,"SITZ","PATT"),"")</calculatedColumnFormula>
    </tableColumn>
    <tableColumn id="43" name="SP3" dataDxfId="118" totalsRowDxfId="117">
      <calculatedColumnFormula>IF(TabDH12[[#This Row],[R3]]&lt;=Sitze_Ausschuss,IF(TabDH12[[#This Row],[R3]]+COUNTIF(TabDH12[[R1]:[R19]],TabDH12[[#This Row],[R3]])-1&lt;=Sitze_Ausschuss,"SITZ","PATT"),"")</calculatedColumnFormula>
    </tableColumn>
    <tableColumn id="44" name="SP4" dataDxfId="116" totalsRowDxfId="115">
      <calculatedColumnFormula>IF(TabDH12[[#This Row],[R4]]&lt;=Sitze_Ausschuss,IF(TabDH12[[#This Row],[R4]]+COUNTIF(TabDH12[[R1]:[R19]],TabDH12[[#This Row],[R4]])-1&lt;=Sitze_Ausschuss,"SITZ","PATT"),"")</calculatedColumnFormula>
    </tableColumn>
    <tableColumn id="45" name="SP5" dataDxfId="114" totalsRowDxfId="113">
      <calculatedColumnFormula>IF(TabDH12[[#This Row],[R5]]&lt;=Sitze_Ausschuss,IF(TabDH12[[#This Row],[R5]]+COUNTIF(TabDH12[[R1]:[R19]],TabDH12[[#This Row],[R5]])-1&lt;=Sitze_Ausschuss,"SITZ","PATT"),"")</calculatedColumnFormula>
    </tableColumn>
    <tableColumn id="46" name="SP6" dataDxfId="112" totalsRowDxfId="111">
      <calculatedColumnFormula>IF(TabDH12[[#This Row],[R6]]&lt;=Sitze_Ausschuss,IF(TabDH12[[#This Row],[R6]]+COUNTIF(TabDH12[[R1]:[R19]],TabDH12[[#This Row],[R6]])-1&lt;=Sitze_Ausschuss,"SITZ","PATT"),"")</calculatedColumnFormula>
    </tableColumn>
    <tableColumn id="47" name="SP7" dataDxfId="110" totalsRowDxfId="109">
      <calculatedColumnFormula>IF(TabDH12[[#This Row],[R7]]&lt;=Sitze_Ausschuss,IF(TabDH12[[#This Row],[R7]]+COUNTIF(TabDH12[[R1]:[R19]],TabDH12[[#This Row],[R7]])-1&lt;=Sitze_Ausschuss,"SITZ","PATT"),"")</calculatedColumnFormula>
    </tableColumn>
    <tableColumn id="48" name="SP8" dataDxfId="108" totalsRowDxfId="107">
      <calculatedColumnFormula>IF(TabDH12[[#This Row],[R8]]&lt;=Sitze_Ausschuss,IF(TabDH12[[#This Row],[R8]]+COUNTIF(TabDH12[[R1]:[R19]],TabDH12[[#This Row],[R8]])-1&lt;=Sitze_Ausschuss,"SITZ","PATT"),"")</calculatedColumnFormula>
    </tableColumn>
    <tableColumn id="49" name="SP9" dataDxfId="106" totalsRowDxfId="105">
      <calculatedColumnFormula>IF(TabDH12[[#This Row],[R9]]&lt;=Sitze_Ausschuss,IF(TabDH12[[#This Row],[R9]]+COUNTIF(TabDH12[[R1]:[R19]],TabDH12[[#This Row],[R9]])-1&lt;=Sitze_Ausschuss,"SITZ","PATT"),"")</calculatedColumnFormula>
    </tableColumn>
    <tableColumn id="50" name="SP10" dataDxfId="104" totalsRowDxfId="103">
      <calculatedColumnFormula>IF(TabDH12[[#This Row],[R10]]&lt;=Sitze_Ausschuss,IF(TabDH12[[#This Row],[R10]]+COUNTIF(TabDH12[[R1]:[R19]],TabDH12[[#This Row],[R10]])-1&lt;=Sitze_Ausschuss,"SITZ","PATT"),"")</calculatedColumnFormula>
    </tableColumn>
    <tableColumn id="51" name="SP11" dataDxfId="102" totalsRowDxfId="101">
      <calculatedColumnFormula>IF(TabDH12[[#This Row],[R11]]&lt;=Sitze_Ausschuss,IF(TabDH12[[#This Row],[R11]]+COUNTIF(TabDH12[[R1]:[R19]],TabDH12[[#This Row],[R11]])-1&lt;=Sitze_Ausschuss,"SITZ","PATT"),"")</calculatedColumnFormula>
    </tableColumn>
    <tableColumn id="52" name="SP12" dataDxfId="100" totalsRowDxfId="99">
      <calculatedColumnFormula>IF(TabDH12[[#This Row],[R12]]&lt;=Sitze_Ausschuss,IF(TabDH12[[#This Row],[R12]]+COUNTIF(TabDH12[[R1]:[R19]],TabDH12[[#This Row],[R12]])-1&lt;=Sitze_Ausschuss,"SITZ","PATT"),"")</calculatedColumnFormula>
    </tableColumn>
    <tableColumn id="53" name="SP13" dataDxfId="98" totalsRowDxfId="97">
      <calculatedColumnFormula>IF(TabDH12[[#This Row],[R13]]&lt;=Sitze_Ausschuss,IF(TabDH12[[#This Row],[R13]]+COUNTIF(TabDH12[[R1]:[R19]],TabDH12[[#This Row],[R13]])-1&lt;=Sitze_Ausschuss,"SITZ","PATT"),"")</calculatedColumnFormula>
    </tableColumn>
    <tableColumn id="54" name="SP14" dataDxfId="96" totalsRowDxfId="95">
      <calculatedColumnFormula>IF(TabDH12[[#This Row],[R14]]&lt;=Sitze_Ausschuss,IF(TabDH12[[#This Row],[R14]]+COUNTIF(TabDH12[[R1]:[R19]],TabDH12[[#This Row],[R14]])-1&lt;=Sitze_Ausschuss,"SITZ","PATT"),"")</calculatedColumnFormula>
    </tableColumn>
    <tableColumn id="55" name="SP15" dataDxfId="94" totalsRowDxfId="93">
      <calculatedColumnFormula>IF(TabDH12[[#This Row],[R15]]&lt;=Sitze_Ausschuss,IF(TabDH12[[#This Row],[R15]]+COUNTIF(TabDH12[[R1]:[R19]],TabDH12[[#This Row],[R15]])-1&lt;=Sitze_Ausschuss,"SITZ","PATT"),"")</calculatedColumnFormula>
    </tableColumn>
    <tableColumn id="56" name="SP16" dataDxfId="92" totalsRowDxfId="91">
      <calculatedColumnFormula>IF(TabDH12[[#This Row],[R16]]&lt;=Sitze_Ausschuss,IF(TabDH12[[#This Row],[R16]]+COUNTIF(TabDH12[[R1]:[R19]],TabDH12[[#This Row],[R16]])-1&lt;=Sitze_Ausschuss,"SITZ","PATT"),"")</calculatedColumnFormula>
    </tableColumn>
    <tableColumn id="57" name="SP17" dataDxfId="90" totalsRowDxfId="89">
      <calculatedColumnFormula>IF(TabDH12[[#This Row],[R17]]&lt;=Sitze_Ausschuss,IF(TabDH12[[#This Row],[R17]]+COUNTIF(TabDH12[[R1]:[R19]],TabDH12[[#This Row],[R17]])-1&lt;=Sitze_Ausschuss,"SITZ","PATT"),"")</calculatedColumnFormula>
    </tableColumn>
    <tableColumn id="58" name="SP18" dataDxfId="88" totalsRowDxfId="87">
      <calculatedColumnFormula>IF(TabDH12[[#This Row],[R18]]&lt;=Sitze_Ausschuss,IF(TabDH12[[#This Row],[R18]]+COUNTIF(TabDH12[[R1]:[R19]],TabDH12[[#This Row],[R18]])-1&lt;=Sitze_Ausschuss,"SITZ","PATT"),"")</calculatedColumnFormula>
    </tableColumn>
    <tableColumn id="59" name="SP19" dataDxfId="86" totalsRowDxfId="85">
      <calculatedColumnFormula>IF(TabDH12[[#This Row],[R19]]&lt;=Sitze_Ausschuss,IF(TabDH12[[#This Row],[R19]]+COUNTIF(TabDH12[[R1]:[R19]],TabDH12[[#This Row],[R19]])-1&lt;=Sitze_Ausschuss,"SITZ","PATT"),"")</calculatedColumnFormula>
    </tableColumn>
    <tableColumn id="60" name="Patt" totalsRowFunction="custom" dataDxfId="84" totalsRowDxfId="83">
      <calculatedColumnFormula>COUNTIF(TabDH12[[#This Row],[SP1]:[SP19]],"PATT")&gt;0</calculatedColumnFormula>
      <totalsRowFormula array="1">SUM(TabDH12[Patt]*1)</totalsRowFormula>
    </tableColumn>
    <tableColumn id="61" name="Los Chance" totalsRowFunction="custom" dataDxfId="82" totalsRowDxfId="81" dataCellStyle="Prozent">
      <calculatedColumnFormula>IF(TabDH12[[#This Row],[Patt]],(Sitze_Ausschuss-SUM(TabDH12[Sitze]))/TabDH12[[#Totals],[Patt]],0)</calculatedColumnFormula>
      <totalsRowFormula>ROUND(SUM(TabDH12[Los Chance]),0)</totalsRowFormula>
    </tableColumn>
    <tableColumn id="62" name="Stimmen/Gelost" dataDxfId="80" totalsRowDxfId="79">
      <calculatedColumnFormula>TabDH12[[#This Row],[Patt]]*IF(Pattaufloesung="Stimmen",TabPatt11[[#This Row],[Stimmen]],0)*1</calculatedColumnFormula>
    </tableColumn>
    <tableColumn id="63" name="Pattgewinn" dataDxfId="78" totalsRowDxfId="77">
      <calculatedColumnFormula>_xlfn.RANK.EQ(TabDH12[[#This Row],[Stimmen/Gelost]],TabDH12[Stimmen/Gelost],0)&lt;=(Sitze_Ausschuss-SUM(TabDH12[Sitze]))</calculatedColumnFormula>
    </tableColumn>
    <tableColumn id="64" name="QK verletzt" totalsRowFunction="count" dataDxfId="76" totalsRowDxfId="75">
      <calculatedColumnFormula>OR(TabDH12[[#This Row],[Sitze]]&lt;ROUNDDOWN(Grunddaten7[[#This Row],[Proporzgenaue Zahl Ausschuss]],0),TabDH12[[#This Row],[Sitze]]+(TabDH12[[#This Row],[Patt]]*1)&gt;ROUNDUP(Grunddaten7[[#This Row],[Proporzgenaue Zahl Ausschuss]],0))</calculatedColumnFormula>
    </tableColumn>
  </tableColumns>
  <tableStyleInfo name="TableStyleMedium17" showFirstColumn="0" showLastColumn="0" showRowStripes="1" showColumnStripes="0"/>
</table>
</file>

<file path=xl/tables/table11.xml><?xml version="1.0" encoding="utf-8"?>
<table xmlns="http://schemas.openxmlformats.org/spreadsheetml/2006/main" id="12" name="Tab_Wahlergebnis" displayName="Tab_Wahlergebnis" ref="B6:D18" totalsRowCount="1" tableBorderDxfId="68" dataCellStyle="Benutzereingabe">
  <sortState ref="B10:D20">
    <sortCondition descending="1" ref="D9:D20"/>
  </sortState>
  <tableColumns count="3">
    <tableColumn id="1" name="Name" totalsRowDxfId="67" dataCellStyle="Benutzereingabe"/>
    <tableColumn id="2" name="Stimmen" dataDxfId="66" totalsRowDxfId="65" dataCellStyle="Benutzereingabe"/>
    <tableColumn id="3" name="SitzeHO" totalsRowFunction="sum" totalsRowDxfId="64"/>
  </tableColumns>
  <tableStyleInfo name="TableStyleLight8" showFirstColumn="1" showLastColumn="0" showRowStripes="1" showColumnStripes="0"/>
</table>
</file>

<file path=xl/tables/table12.xml><?xml version="1.0" encoding="utf-8"?>
<table xmlns="http://schemas.openxmlformats.org/spreadsheetml/2006/main" id="13" name="Tab_QKSicher" displayName="Tab_QKSicher" ref="M6:Q19" tableBorderDxfId="63">
  <tableColumns count="5">
    <tableColumn id="1" name="Ideal" totalsRowFunction="sum" dataDxfId="62" totalsRowDxfId="61">
      <calculatedColumnFormula>Tab_Verschiebungen[[#This Row],[SitzeHO]]/Tab_Wahlergebnis[[#Totals],[SitzeHO]]*Aussschussgröße</calculatedColumnFormula>
    </tableColumn>
    <tableColumn id="2" name="QK_Min" totalsRowFunction="sum" dataDxfId="60">
      <calculatedColumnFormula>ROUNDDOWN(Tab_QKSicher[[#This Row],[Ideal]],0)</calculatedColumnFormula>
    </tableColumn>
    <tableColumn id="3" name="QK_Max" totalsRowFunction="sum" dataDxfId="59">
      <calculatedColumnFormula>ROUNDUP(Tab_QKSicher[[#This Row],[Ideal]],0)</calculatedColumnFormula>
    </tableColumn>
    <tableColumn id="5" name="QuotKrit" dataDxfId="58">
      <calculatedColumnFormula>IF(Tab_QKSicher[[#This Row],[QK_Min]]=Tab_QKSicher[[#This Row],[QK_Max]],"genau "&amp;Tab_QKSicher[[#This Row],[QK_Min]],Tab_QKSicher[[#This Row],[QK_Min]]&amp;" oder "&amp;Tab_QKSicher[[#This Row],[QK_Max]])</calculatedColumnFormula>
    </tableColumn>
    <tableColumn id="4" name="SicherDrin?" totalsRowFunction="count" dataDxfId="57">
      <calculatedColumnFormula>Tab_Verschiebungen[[#This Row],[SitzeHO]]&gt;Tab_Wahlergebnis[[#Totals],[SitzeHO]]/(1+Aussschussgröße)</calculatedColumnFormula>
    </tableColumn>
  </tableColumns>
  <tableStyleInfo name="TableStyleLight11" showFirstColumn="0" showLastColumn="0" showRowStripes="1" showColumnStripes="0"/>
</table>
</file>

<file path=xl/tables/table13.xml><?xml version="1.0" encoding="utf-8"?>
<table xmlns="http://schemas.openxmlformats.org/spreadsheetml/2006/main" id="14" name="Tab_Verschiebungen" displayName="Tab_Verschiebungen" ref="F6:K20" totalsRowCount="1" tableBorderDxfId="56" totalsRowCellStyle="Standard">
  <tableColumns count="6">
    <tableColumn id="4" name="NameAlt" totalsRowDxfId="55" dataCellStyle="Erklärender Text">
      <calculatedColumnFormula>IFERROR(IF(ISBLANK(Tab_Verschiebungen[[#This Row],[NameNeu]]),Tab_Wahlergebnis[[#This Row],[Name]],""),"")</calculatedColumnFormula>
    </tableColumn>
    <tableColumn id="5" name="NameNeu" totalsRowDxfId="54" dataCellStyle="Benutzereingabe"/>
    <tableColumn id="7" name="Name" dataDxfId="53" totalsRowDxfId="52" dataCellStyle="Standard">
      <calculatedColumnFormula>IF(ISBLANK(Tab_Verschiebungen[[#This Row],[NameNeu]]),Tab_Verschiebungen[[#This Row],[NameAlt]],Tab_Verschiebungen[[#This Row],[NameNeu]])</calculatedColumnFormula>
    </tableColumn>
    <tableColumn id="1" name="Plus" totalsRowDxfId="51" dataCellStyle="Benutzereingabe"/>
    <tableColumn id="2" name="Minus" totalsRowDxfId="50" dataCellStyle="Benutzereingabe"/>
    <tableColumn id="3" name="SitzeHO" totalsRowFunction="sum" totalsRowDxfId="49">
      <calculatedColumnFormula>IFERROR(Tab_Wahlergebnis[[#This Row],[SitzeHO]],0)+Tab_Verschiebungen[[#This Row],[Plus]]-Tab_Verschiebungen[[#This Row],[Minus]]</calculatedColumnFormula>
    </tableColumn>
  </tableColumns>
  <tableStyleInfo name="TableStyleLight11" showFirstColumn="0" showLastColumn="0" showRowStripes="1" showColumnStripes="0"/>
</table>
</file>

<file path=xl/tables/table14.xml><?xml version="1.0" encoding="utf-8"?>
<table xmlns="http://schemas.openxmlformats.org/spreadsheetml/2006/main" id="15" name="Tab_AG" displayName="Tab_AG" ref="S6:AB24" totalsRowCount="1" tableBorderDxfId="48">
  <tableColumns count="10">
    <tableColumn id="7" name="Name" totalsRowLabel="Gesamt" dataCellStyle="Standard">
      <calculatedColumnFormula>IF(COUNTIF(Tab_AG[AG],Tab_AG[[#This Row],[Name_Hilf]])&gt;0,Tab_AG[[#This Row],[AGName]],Tab_AG[[#This Row],[Name_Hilf]])</calculatedColumnFormula>
    </tableColumn>
    <tableColumn id="2" name="AG" totalsRowDxfId="47" dataCellStyle="Benutzereingabe"/>
    <tableColumn id="1" name="Name_Hilf" dataDxfId="46" totalsRowDxfId="45" dataCellStyle="Erklärender Text">
      <calculatedColumnFormula>IFERROR(Tab_Verschiebungen[[#This Row],[Name]],"AG"&amp;ROW()-ROW(Tab_AG[[#Headers],[Name_Hilf]])-ROWS(Tab_QKSicher[Ideal]))</calculatedColumnFormula>
    </tableColumn>
    <tableColumn id="15" name="SItzeImHO_Hilf" dataDxfId="44" totalsRowDxfId="43">
      <calculatedColumnFormula>IFERROR(Tab_Verschiebungen[[#This Row],[SitzeHO]],0)</calculatedColumnFormula>
    </tableColumn>
    <tableColumn id="11" name="AGN_Alt" dataDxfId="42" totalsRowDxfId="41">
      <calculatedColumnFormula>IF(ROW()=ROW(Tab_AG[[#Headers],[AGN_Alt]])+1,"",X6)</calculatedColumnFormula>
    </tableColumn>
    <tableColumn id="9" name="AGN_Neu" dataDxfId="40" totalsRowDxfId="39">
      <calculatedColumnFormula>IF(ISBLANK(Tab_AG[[#This Row],[AG]]),Tab_AG[[#This Row],[AGN_Alt]],IF(ISERROR(FIND(Tab_AG[[#This Row],[AG]],Tab_AG[[#This Row],[AGN_Alt]])),Tab_AG[[#This Row],[AGN_Alt]]&amp;Tab_AG[[#This Row],[AG]]&amp;"[~"&amp;MID(Tab_AG[[#This Row],[Name_Hilf]],1,3)&amp;"]",SUBSTITUTE(Tab_AG[[#This Row],[AGN_Alt]],Tab_AG[[#This Row],[AG]]&amp;"[~",Tab_AG[[#This Row],[AG]]&amp;"[~"&amp;MID(Tab_AG[[#This Row],[Name_Hilf]],1,3)&amp;"+")))</calculatedColumnFormula>
    </tableColumn>
    <tableColumn id="14" name="SuchBeginn" dataDxfId="38" totalsRowDxfId="37">
      <calculatedColumnFormula>IFERROR(FIND(Tab_AG[[#This Row],[Name_Hilf]]&amp;"[~",Tab_AG[[#This Row],[AGN_Neu]]),0)</calculatedColumnFormula>
    </tableColumn>
    <tableColumn id="13" name="SuchKlammer" dataDxfId="36" totalsRowDxfId="35">
      <calculatedColumnFormula>IFERROR(FIND("]",Tab_AG[[#This Row],[AGN_Neu]],Tab_AG[[#This Row],[SuchBeginn]]),0)</calculatedColumnFormula>
    </tableColumn>
    <tableColumn id="12" name="AGName" dataDxfId="34" totalsRowDxfId="33">
      <calculatedColumnFormula>IFERROR(SUBSTITUTE(MID(Tab_AG[[#This Row],[AGN_Neu]],Tab_AG[[#This Row],[SuchBeginn]],Tab_AG[[#This Row],[SuchKlammer]]-Tab_AG[[#This Row],[SuchBeginn]]+1),"~",""),"")</calculatedColumnFormula>
    </tableColumn>
    <tableColumn id="5" name="SitzeHO" totalsRowFunction="sum" dataDxfId="32" totalsRowDxfId="31">
      <calculatedColumnFormula>IFERROR(IF(ISBLANK(Tab_AG[[#This Row],[AG]]),Tab_Verschiebungen[[#This Row],[SitzeHO]],0),SUMIFS(Tab_AG[SItzeImHO_Hilf],Tab_AG[AG],Tab_AG[[#This Row],[Name_Hilf]]))</calculatedColumnFormula>
    </tableColumn>
  </tableColumns>
  <tableStyleInfo name="TableStyleLight13" showFirstColumn="0" showLastColumn="0" showRowStripes="1" showColumnStripes="0"/>
</table>
</file>

<file path=xl/tables/table15.xml><?xml version="1.0" encoding="utf-8"?>
<table xmlns="http://schemas.openxmlformats.org/spreadsheetml/2006/main" id="17" name="Tab_Verfahren" displayName="Tab_Verfahren" ref="AD6:AO24" totalsRowCount="1" tableBorderDxfId="30">
  <tableColumns count="12">
    <tableColumn id="11" name="QuotKrit" totalsRowLabel="Gesamt" dataDxfId="29" totalsRowDxfId="28">
      <calculatedColumnFormula>IF(Tab_Verfahren[[#This Row],[QK_Min]]=Tab_Verfahren[[#This Row],[QK_Max]],"genau "&amp;Tab_Verfahren[[#This Row],[QK_Min]],Tab_Verfahren[[#This Row],[QK_Min]]&amp;" oder "&amp;Tab_Verfahren[[#This Row],[QK_Max]])</calculatedColumnFormula>
    </tableColumn>
    <tableColumn id="1" name="QK_Min" totalsRowFunction="sum" dataDxfId="27" totalsRowDxfId="26">
      <calculatedColumnFormula>ROUNDDOWN(Aussschussgröße*Tab_AG[[#This Row],[SitzeHO]]/Tab_Wahlergebnis[[#Totals],[SitzeHO]],0)</calculatedColumnFormula>
    </tableColumn>
    <tableColumn id="6" name="QK_Max" dataDxfId="25" totalsRowDxfId="24">
      <calculatedColumnFormula>ROUNDUP(Aussschussgröße*Tab_AG[[#This Row],[SitzeHO]]/Tab_Wahlergebnis[[#Totals],[SitzeHO]],0)</calculatedColumnFormula>
    </tableColumn>
    <tableColumn id="5" name="AZ_dH" dataDxfId="23" totalsRowDxfId="22">
      <calculatedColumnFormula>ROUND(Tab_AG[[#This Row],[SitzeHO]]/(Tab_Verfahren[[#This Row],[QK_Min]]+1),4)</calculatedColumnFormula>
    </tableColumn>
    <tableColumn id="4" name="AZ_HN" dataDxfId="21" totalsRowDxfId="20">
      <calculatedColumnFormula>ROUND(Aussschussgröße*Tab_AG[[#This Row],[SitzeHO]]/Tab_Wahlergebnis[[#Totals],[SitzeHO]]-Tab_Verfahren[[#This Row],[QK_Min]],4)</calculatedColumnFormula>
    </tableColumn>
    <tableColumn id="3" name="AZ_SLS" dataDxfId="19" totalsRowDxfId="18">
      <calculatedColumnFormula>ROUND(Tab_AG[[#This Row],[SitzeHO]]/(Tab_Verfahren[[#This Row],[QK_Min]]*2+1),4)</calculatedColumnFormula>
    </tableColumn>
    <tableColumn id="2" name="AZ" dataDxfId="17" totalsRowDxfId="16">
      <calculatedColumnFormula>IF(Tab_Verfahren[[#This Row],[QK_Min]]=Tab_Verfahren[[#This Row],[QK_Max]],0,IF(Verfahren=VerfdH,Tab_Verfahren[[#This Row],[AZ_dH]],IF(Verfahren=VerfHN,Tab_Verfahren[[#This Row],[AZ_HN]],IF(Verfahren=VerfSLS,Tab_Verfahren[[#This Row],[AZ_SLS]],#N/A))))</calculatedColumnFormula>
    </tableColumn>
    <tableColumn id="12" name="Anspruch auf" dataDxfId="15" totalsRowDxfId="14">
      <calculatedColumnFormula>IF(Tab_Verfahren[[#This Row],[AZ]]&gt;0,Tab_Verfahren[[#This Row],[QK_Max]]&amp;". Sitz:   "&amp;IF(Verfahren=VerfdH,Tab_AG[[#This Row],[SitzeHO]]&amp;"/"&amp;Tab_Verfahren[[#This Row],[QK_Max]],"")&amp;IF(Verfahren=VerfSLS,Tab_AG[[#This Row],[SitzeHO]]&amp;"/"&amp;Tab_Verfahren[[#This Row],[QK_Max]]*2-1,"")&amp;IF(Verfahren=VerfHN,Tab_AG[[#This Row],[SitzeHO]]&amp;"/"&amp;Tab_AG[[#Totals],[SitzeHO]]&amp;"*"&amp;Aussschussgröße&amp;"-"&amp;Tab_Verfahren[[#This Row],[QK_Min]],"")&amp;" = "&amp;TEXT(Tab_Verfahren[[#This Row],[AZ]],"0,000"),"")</calculatedColumnFormula>
    </tableColumn>
    <tableColumn id="7" name="Rang" dataDxfId="13" totalsRowDxfId="12">
      <calculatedColumnFormula>_xlfn.RANK.EQ(Tab_Verfahren[[#This Row],[AZ]],Tab_Verfahren[AZ],0)</calculatedColumnFormula>
    </tableColumn>
    <tableColumn id="8" name="Status" dataDxfId="11" totalsRowDxfId="10">
      <calculatedColumnFormula>IF(COUNTIFS(Tab_Verfahren[Rang],"&lt;="&amp;Tab_Verfahren[[#This Row],[Rang]])&lt;=Aussschussgröße-SUM(Tab_Verfahren[QK_Min]),"SITZ",IF(COUNTIFS(Tab_Verfahren[Rang],"&lt;"&amp;Tab_Verfahren[[#This Row],[Rang]])&lt;Aussschussgröße-SUM(Tab_Verfahren[QK_Min]),"PATT",""))</calculatedColumnFormula>
    </tableColumn>
    <tableColumn id="9" name="Sitze" totalsRowFunction="sum" totalsRowDxfId="9">
      <calculatedColumnFormula>Tab_Verfahren[[#This Row],[QK_Min]]+IF(Tab_Verfahren[[#This Row],[Status]]="SITZ",1,0)</calculatedColumnFormula>
    </tableColumn>
    <tableColumn id="10" name="LosCh" totalsRowFunction="sum" totalsRowDxfId="8">
      <calculatedColumnFormula>IF(Tab_Verfahren[[#This Row],[Status]]&lt;&gt;"PATT",0,(Aussschussgröße-SUM(Tab_Verfahren[Sitze]))/COUNTIFS(Tab_Verfahren[Status],"PATT"))</calculatedColumnFormula>
    </tableColumn>
  </tableColumns>
  <tableStyleInfo name="TableStyleLight13" showFirstColumn="0" showLastColumn="0" showRowStripes="1" showColumnStripes="0"/>
</table>
</file>

<file path=xl/tables/table16.xml><?xml version="1.0" encoding="utf-8"?>
<table xmlns="http://schemas.openxmlformats.org/spreadsheetml/2006/main" id="16" name="Tabelle16" displayName="Tabelle16" ref="AQ6:AW23" totalsRowShown="0">
  <tableColumns count="7">
    <tableColumn id="4" name="StimmenZul" dataDxfId="7">
      <calculatedColumnFormula>OR(Tab_Verfahren[[#This Row],[LosCh]]=0,IFERROR(AND(ISNUMBER(Tab_Wahlergebnis[[#This Row],[Stimmen]]),Tab_Verschiebungen[[#This Row],[Plus]]+Tab_Verschiebungen[[#This Row],[Minus]]=0),FALSE))</calculatedColumnFormula>
    </tableColumn>
    <tableColumn id="3" name="StimmenSitz" dataDxfId="6">
      <calculatedColumnFormula>IF(AND(AND(Tabelle16[StimmenZul]),Tab_Verfahren[[#This Row],[LosCh]]&gt;0),Tab_Wahlergebnis[[#This Row],[Stimmen]],0)</calculatedColumnFormula>
    </tableColumn>
    <tableColumn id="5" name="StRang" dataDxfId="5">
      <calculatedColumnFormula>RANK(Tabelle16[[#This Row],[StimmenSitz]],Tabelle16[StimmenSitz],0)&lt;=Tab_Verfahren[[#Totals],[LosCh]]</calculatedColumnFormula>
    </tableColumn>
    <tableColumn id="1" name="Stimmenzahl" dataDxfId="4">
      <calculatedColumnFormula>IF(Tab_Verfahren[[#This Row],[LosCh]]=0,"",IF(NOT(AND(Tabelle16[StimmenZul])),"UNZULÄSSIG",IF(Tabelle16[[#This Row],[StRang]],"SITZ ("&amp;Tabelle16[[#This Row],[StimmenSitz]]&amp;")","K. SITZ ("&amp;Tabelle16[[#This Row],[StimmenSitz]]&amp;")")))</calculatedColumnFormula>
    </tableColumn>
    <tableColumn id="6" name="Zufall" dataDxfId="3">
      <calculatedColumnFormula>RAND()*Tab_Verfahren[[#This Row],[LosCh]]</calculatedColumnFormula>
    </tableColumn>
    <tableColumn id="7" name="Verlosung" dataDxfId="2">
      <calculatedColumnFormula>IF(Tab_Verfahren[[#This Row],[LosCh]]=0,"",IF(_xlfn.RANK.EQ(Tabelle16[[#This Row],[Zufall]],Tabelle16[Zufall])&lt;=Tab_Verfahren[[#Totals],[LosCh]],"SITZ ("&amp;TEXT(Tabelle16[[#This Row],[Zufall]],",0000")&amp;")","NIETE ("&amp;TEXT(Tabelle16[[#This Row],[Zufall]],",0000")&amp;")"))</calculatedColumnFormula>
    </tableColumn>
    <tableColumn id="8" name="Pattauflösung" dataDxfId="1">
      <calculatedColumnFormula>IF(Pattverfahren="Stimmen",Tabelle16[[#This Row],[Stimmenzahl]],IF(Pattverfahren="Verlosung",Tabelle16[[#This Row],[Verlosung]],""))</calculatedColumnFormula>
    </tableColumn>
  </tableColumns>
  <tableStyleInfo name="TableStyleLight13" showFirstColumn="0" showLastColumn="0" showRowStripes="1" showColumnStripes="0"/>
</table>
</file>

<file path=xl/tables/table17.xml><?xml version="1.0" encoding="utf-8"?>
<table xmlns="http://schemas.openxmlformats.org/spreadsheetml/2006/main" id="5" name="Tabelle5" displayName="Tabelle5" ref="B2:D5" totalsRowShown="0">
  <autoFilter ref="B2:D5"/>
  <tableColumns count="3">
    <tableColumn id="1" name="Version"/>
    <tableColumn id="2" name="Veröffentlicht" dataDxfId="0"/>
    <tableColumn id="3" name="Bemerkung"/>
  </tableColumns>
  <tableStyleInfo name="TableStyleMedium2" showFirstColumn="0" showLastColumn="0" showRowStripes="1" showColumnStripes="0"/>
</table>
</file>

<file path=xl/tables/table18.xml><?xml version="1.0" encoding="utf-8"?>
<table xmlns="http://schemas.openxmlformats.org/spreadsheetml/2006/main" id="18" name="Data_Verfahren" displayName="Data_Verfahren" ref="C4:D7" totalsRowShown="0">
  <autoFilter ref="C4:D7"/>
  <tableColumns count="2">
    <tableColumn id="1" name="Name"/>
    <tableColumn id="2" name="Optimierungsziel"/>
  </tableColumns>
  <tableStyleInfo name="TableStyleMedium2" showFirstColumn="0" showLastColumn="0" showRowStripes="1" showColumnStripes="0"/>
</table>
</file>

<file path=xl/tables/table2.xml><?xml version="1.0" encoding="utf-8"?>
<table xmlns="http://schemas.openxmlformats.org/spreadsheetml/2006/main" id="2" name="TabHN" displayName="TabHN" ref="L6:U22" totalsRowCount="1" headerRowDxfId="712" dataDxfId="711" totalsRowDxfId="710" dataCellStyle="Standard">
  <autoFilter ref="L6:U2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name="Sitze" totalsRowFunction="sum" dataDxfId="709" totalsRowDxfId="708" dataCellStyle="Standard">
      <calculatedColumnFormula>TabHN[[#This Row],[S ganz]]+IF(NOT(TabHN[[#This Row],[Patt]]),TabHN[[#This Row],[Restsitz]],0)</calculatedColumnFormula>
    </tableColumn>
    <tableColumn id="2" name="Patt Auflösung" totalsRowFunction="sum" dataDxfId="707" totalsRowDxfId="706" dataCellStyle="Standard">
      <calculatedColumnFormula>IF(TabHN[[#This Row],[Patt]],IF(Pattaufloesung="Los-Chance",TabHN[[#This Row],[Los Chance]],TabHN[[#This Row],[Pattgewinn]]+0),0)</calculatedColumnFormula>
    </tableColumn>
    <tableColumn id="3" name="S ganz" totalsRowFunction="sum" dataDxfId="705" totalsRowDxfId="704" dataCellStyle="Standard">
      <calculatedColumnFormula>INT(Grunddaten[[#This Row],[Proporzgenaue Zahl Ausschuss]])</calculatedColumnFormula>
    </tableColumn>
    <tableColumn id="4" name="S Rest" totalsRowFunction="custom" dataDxfId="703" totalsRowDxfId="702" dataCellStyle="Standard">
      <calculatedColumnFormula>ROUND(Grunddaten[[#This Row],[Proporzgenaue Zahl Ausschuss]]-TabHN[[#This Row],[S ganz]],4)</calculatedColumnFormula>
      <totalsRowFormula>ROUND(SUM(TabHN[S Rest]),0)</totalsRowFormula>
    </tableColumn>
    <tableColumn id="5" name="Rng Rest" dataDxfId="701" totalsRowDxfId="700" dataCellStyle="Standard">
      <calculatedColumnFormula>_xlfn.RANK.EQ(TabHN[[#This Row],[S Rest]],TabHN[S Rest],0)</calculatedColumnFormula>
    </tableColumn>
    <tableColumn id="6" name="Restsitz" totalsRowFunction="custom" dataDxfId="699" totalsRowDxfId="698" dataCellStyle="Standard">
      <calculatedColumnFormula>IF(TabHN[[#This Row],[Rng Rest]]&lt;=TabHN[[#Totals],[S Rest]],1,0)</calculatedColumnFormula>
      <totalsRowFormula>COUNTIF(TabHN[Patt],"=WAHR")*(-1)+SUM(TabHN[Restsitz])</totalsRowFormula>
    </tableColumn>
    <tableColumn id="7" name="Patt" totalsRowFunction="custom" dataDxfId="697" totalsRowDxfId="696" dataCellStyle="Standard">
      <calculatedColumnFormula>AND(TabHN[[#This Row],[Restsitz]]=1,(COUNTIF(TabHN[Rng Rest],TabHN[[#This Row],[Rng Rest]])+TabHN[[#This Row],[Rng Rest]]-1)&gt;TabHN[[#Totals],[S Rest]])</calculatedColumnFormula>
      <totalsRowFormula array="1">SUM(TabHN[Patt]*1)</totalsRowFormula>
    </tableColumn>
    <tableColumn id="8" name="Los Chance" totalsRowFunction="custom" dataDxfId="695" totalsRowDxfId="694" dataCellStyle="Prozent">
      <calculatedColumnFormula>IF(TabHN[[#This Row],[Patt]],(Sitze_Ausschuss-SUM(TabHN[Sitze]))/TabHN[[#Totals],[Patt]],0)</calculatedColumnFormula>
      <totalsRowFormula>ROUND(SUM(TabHN[Los Chance]),0)</totalsRowFormula>
    </tableColumn>
    <tableColumn id="9" name="Stimmen/Gelost" dataDxfId="693" totalsRowDxfId="692" dataCellStyle="Standard">
      <calculatedColumnFormula>TabHN[[#This Row],[Patt]]*IF(Pattaufloesung="Stimmen",TabPatt[[#This Row],[Stimmen]],0)*1</calculatedColumnFormula>
    </tableColumn>
    <tableColumn id="10" name="Pattgewinn" dataDxfId="691" totalsRowDxfId="690" dataCellStyle="Standard">
      <calculatedColumnFormula>_xlfn.RANK.EQ(TabHN[[#This Row],[Stimmen/Gelost]],TabHN[Stimmen/Gelost],0)&lt;=(Sitze_Ausschuss-SUM(TabHN[Sitze]))</calculatedColumnFormula>
    </tableColumn>
  </tableColumns>
  <tableStyleInfo name="TableStyleMedium20" showFirstColumn="0" showLastColumn="0" showRowStripes="1" showColumnStripes="0"/>
</table>
</file>

<file path=xl/tables/table3.xml><?xml version="1.0" encoding="utf-8"?>
<table xmlns="http://schemas.openxmlformats.org/spreadsheetml/2006/main" id="3" name="TabSLS" displayName="TabSLS" ref="W6:CH22" totalsRowCount="1" headerRowDxfId="689" dataDxfId="688" totalsRowDxfId="687">
  <autoFilter ref="W6:CH2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autoFilter>
  <tableColumns count="64">
    <tableColumn id="1" name="Sitze" totalsRowFunction="sum" dataDxfId="686" totalsRowDxfId="685">
      <calculatedColumnFormula>COUNTIF(TabSLS[[#This Row],[SP1]:[SP37]],"SITZ")</calculatedColumnFormula>
    </tableColumn>
    <tableColumn id="2" name="Patt Auflösung" totalsRowFunction="sum" dataDxfId="684" totalsRowDxfId="683">
      <calculatedColumnFormula>IF(TabSLS[[#This Row],[Patt?]],IF(Pattaufloesung="Los-Chance",TabSLS[[#This Row],[Los Chance]],TabSLS[[#This Row],[Pattgewinn]]+0),0)</calculatedColumnFormula>
    </tableColumn>
    <tableColumn id="3" name=":1" dataDxfId="682" totalsRowDxfId="681">
      <calculatedColumnFormula>Grunddaten[[#This Row],[Sitze im Hauptorgan]]/_xlfn.NUMBERVALUE(MID(INDEX(TabSLS[[#Headers],[:1]:[:37]],COLUMN()-COLUMN(TabSLS[[#Headers],[:1]])+1),2,3))</calculatedColumnFormula>
    </tableColumn>
    <tableColumn id="4" name=":3" dataDxfId="680" totalsRowDxfId="679">
      <calculatedColumnFormula>Grunddaten[[#This Row],[Sitze im Hauptorgan]]/_xlfn.NUMBERVALUE(MID(INDEX(TabSLS[[#Headers],[:1]:[:37]],COLUMN()-COLUMN(TabSLS[[#Headers],[:1]])+1),2,3))</calculatedColumnFormula>
    </tableColumn>
    <tableColumn id="5" name=":5" dataDxfId="678" totalsRowDxfId="677">
      <calculatedColumnFormula>Grunddaten[[#This Row],[Sitze im Hauptorgan]]/_xlfn.NUMBERVALUE(MID(INDEX(TabSLS[[#Headers],[:1]:[:37]],COLUMN()-COLUMN(TabSLS[[#Headers],[:1]])+1),2,3))</calculatedColumnFormula>
    </tableColumn>
    <tableColumn id="6" name=":7" dataDxfId="676" totalsRowDxfId="675">
      <calculatedColumnFormula>Grunddaten[[#This Row],[Sitze im Hauptorgan]]/_xlfn.NUMBERVALUE(MID(INDEX(TabSLS[[#Headers],[:1]:[:37]],COLUMN()-COLUMN(TabSLS[[#Headers],[:1]])+1),2,3))</calculatedColumnFormula>
    </tableColumn>
    <tableColumn id="7" name=":9" dataDxfId="674" totalsRowDxfId="673">
      <calculatedColumnFormula>Grunddaten[[#This Row],[Sitze im Hauptorgan]]/_xlfn.NUMBERVALUE(MID(INDEX(TabSLS[[#Headers],[:1]:[:37]],COLUMN()-COLUMN(TabSLS[[#Headers],[:1]])+1),2,3))</calculatedColumnFormula>
    </tableColumn>
    <tableColumn id="8" name=":11" dataDxfId="672" totalsRowDxfId="671">
      <calculatedColumnFormula>Grunddaten[[#This Row],[Sitze im Hauptorgan]]/_xlfn.NUMBERVALUE(MID(INDEX(TabSLS[[#Headers],[:1]:[:37]],COLUMN()-COLUMN(TabSLS[[#Headers],[:1]])+1),2,3))</calculatedColumnFormula>
    </tableColumn>
    <tableColumn id="9" name=":13" dataDxfId="670" totalsRowDxfId="669">
      <calculatedColumnFormula>Grunddaten[[#This Row],[Sitze im Hauptorgan]]/_xlfn.NUMBERVALUE(MID(INDEX(TabSLS[[#Headers],[:1]:[:37]],COLUMN()-COLUMN(TabSLS[[#Headers],[:1]])+1),2,3))</calculatedColumnFormula>
    </tableColumn>
    <tableColumn id="10" name=":15" dataDxfId="668" totalsRowDxfId="667">
      <calculatedColumnFormula>Grunddaten[[#This Row],[Sitze im Hauptorgan]]/_xlfn.NUMBERVALUE(MID(INDEX(TabSLS[[#Headers],[:1]:[:37]],COLUMN()-COLUMN(TabSLS[[#Headers],[:1]])+1),2,3))</calculatedColumnFormula>
    </tableColumn>
    <tableColumn id="11" name=":17" dataDxfId="666" totalsRowDxfId="665">
      <calculatedColumnFormula>Grunddaten[[#This Row],[Sitze im Hauptorgan]]/_xlfn.NUMBERVALUE(MID(INDEX(TabSLS[[#Headers],[:1]:[:37]],COLUMN()-COLUMN(TabSLS[[#Headers],[:1]])+1),2,3))</calculatedColumnFormula>
    </tableColumn>
    <tableColumn id="12" name=":19" dataDxfId="664" totalsRowDxfId="663">
      <calculatedColumnFormula>Grunddaten[[#This Row],[Sitze im Hauptorgan]]/_xlfn.NUMBERVALUE(MID(INDEX(TabSLS[[#Headers],[:1]:[:37]],COLUMN()-COLUMN(TabSLS[[#Headers],[:1]])+1),2,3))</calculatedColumnFormula>
    </tableColumn>
    <tableColumn id="13" name=":21" dataDxfId="662" totalsRowDxfId="661">
      <calculatedColumnFormula>Grunddaten[[#This Row],[Sitze im Hauptorgan]]/_xlfn.NUMBERVALUE(MID(INDEX(TabSLS[[#Headers],[:1]:[:37]],COLUMN()-COLUMN(TabSLS[[#Headers],[:1]])+1),2,3))</calculatedColumnFormula>
    </tableColumn>
    <tableColumn id="14" name=":23" dataDxfId="660" totalsRowDxfId="659">
      <calculatedColumnFormula>Grunddaten[[#This Row],[Sitze im Hauptorgan]]/_xlfn.NUMBERVALUE(MID(INDEX(TabSLS[[#Headers],[:1]:[:37]],COLUMN()-COLUMN(TabSLS[[#Headers],[:1]])+1),2,3))</calculatedColumnFormula>
    </tableColumn>
    <tableColumn id="15" name=":25" dataDxfId="658" totalsRowDxfId="657">
      <calculatedColumnFormula>Grunddaten[[#This Row],[Sitze im Hauptorgan]]/_xlfn.NUMBERVALUE(MID(INDEX(TabSLS[[#Headers],[:1]:[:37]],COLUMN()-COLUMN(TabSLS[[#Headers],[:1]])+1),2,3))</calculatedColumnFormula>
    </tableColumn>
    <tableColumn id="16" name=":27" dataDxfId="656" totalsRowDxfId="655">
      <calculatedColumnFormula>Grunddaten[[#This Row],[Sitze im Hauptorgan]]/_xlfn.NUMBERVALUE(MID(INDEX(TabSLS[[#Headers],[:1]:[:37]],COLUMN()-COLUMN(TabSLS[[#Headers],[:1]])+1),2,3))</calculatedColumnFormula>
    </tableColumn>
    <tableColumn id="17" name=":29" dataDxfId="654" totalsRowDxfId="653">
      <calculatedColumnFormula>Grunddaten[[#This Row],[Sitze im Hauptorgan]]/_xlfn.NUMBERVALUE(MID(INDEX(TabSLS[[#Headers],[:1]:[:37]],COLUMN()-COLUMN(TabSLS[[#Headers],[:1]])+1),2,3))</calculatedColumnFormula>
    </tableColumn>
    <tableColumn id="18" name=":31" dataDxfId="652" totalsRowDxfId="651">
      <calculatedColumnFormula>Grunddaten[[#This Row],[Sitze im Hauptorgan]]/_xlfn.NUMBERVALUE(MID(INDEX(TabSLS[[#Headers],[:1]:[:37]],COLUMN()-COLUMN(TabSLS[[#Headers],[:1]])+1),2,3))</calculatedColumnFormula>
    </tableColumn>
    <tableColumn id="19" name=":33" dataDxfId="650" totalsRowDxfId="649">
      <calculatedColumnFormula>Grunddaten[[#This Row],[Sitze im Hauptorgan]]/_xlfn.NUMBERVALUE(MID(INDEX(TabSLS[[#Headers],[:1]:[:37]],COLUMN()-COLUMN(TabSLS[[#Headers],[:1]])+1),2,3))</calculatedColumnFormula>
    </tableColumn>
    <tableColumn id="20" name=":35" dataDxfId="648" totalsRowDxfId="647">
      <calculatedColumnFormula>Grunddaten[[#This Row],[Sitze im Hauptorgan]]/_xlfn.NUMBERVALUE(MID(INDEX(TabSLS[[#Headers],[:1]:[:37]],COLUMN()-COLUMN(TabSLS[[#Headers],[:1]])+1),2,3))</calculatedColumnFormula>
    </tableColumn>
    <tableColumn id="21" name=":37" dataDxfId="646" totalsRowDxfId="645">
      <calculatedColumnFormula>Grunddaten[[#This Row],[Sitze im Hauptorgan]]/_xlfn.NUMBERVALUE(MID(INDEX(TabSLS[[#Headers],[:1]:[:37]],COLUMN()-COLUMN(TabSLS[[#Headers],[:1]])+1),2,3))</calculatedColumnFormula>
    </tableColumn>
    <tableColumn id="22" name="R1" dataDxfId="644" totalsRowDxfId="643">
      <calculatedColumnFormula>_xlfn.RANK.EQ(TabSLS[[#This Row],[:1]],TabSLS[[:1]:[:37]],0)</calculatedColumnFormula>
    </tableColumn>
    <tableColumn id="23" name="R3" dataDxfId="642" totalsRowDxfId="641">
      <calculatedColumnFormula>_xlfn.RANK.EQ(TabSLS[[#This Row],[:3]],TabSLS[[:1]:[:37]],0)</calculatedColumnFormula>
    </tableColumn>
    <tableColumn id="24" name="R5" dataDxfId="640" totalsRowDxfId="639">
      <calculatedColumnFormula>_xlfn.RANK.EQ(TabSLS[[#This Row],[:5]],TabSLS[[:1]:[:37]],0)</calculatedColumnFormula>
    </tableColumn>
    <tableColumn id="25" name="R7" dataDxfId="638" totalsRowDxfId="637">
      <calculatedColumnFormula>_xlfn.RANK.EQ(TabSLS[[#This Row],[:7]],TabSLS[[:1]:[:37]],0)</calculatedColumnFormula>
    </tableColumn>
    <tableColumn id="26" name="R9" dataDxfId="636" totalsRowDxfId="635">
      <calculatedColumnFormula>_xlfn.RANK.EQ(TabSLS[[#This Row],[:9]],TabSLS[[:1]:[:37]],0)</calculatedColumnFormula>
    </tableColumn>
    <tableColumn id="27" name="R11" dataDxfId="634" totalsRowDxfId="633">
      <calculatedColumnFormula>_xlfn.RANK.EQ(TabSLS[[#This Row],[:11]],TabSLS[[:1]:[:37]],0)</calculatedColumnFormula>
    </tableColumn>
    <tableColumn id="28" name="R13" dataDxfId="632" totalsRowDxfId="631">
      <calculatedColumnFormula>_xlfn.RANK.EQ(TabSLS[[#This Row],[:13]],TabSLS[[:1]:[:37]],0)</calculatedColumnFormula>
    </tableColumn>
    <tableColumn id="29" name="R15" dataDxfId="630" totalsRowDxfId="629">
      <calculatedColumnFormula>_xlfn.RANK.EQ(TabSLS[[#This Row],[:15]],TabSLS[[:1]:[:37]],0)</calculatedColumnFormula>
    </tableColumn>
    <tableColumn id="30" name="R17" dataDxfId="628" totalsRowDxfId="627">
      <calculatedColumnFormula>_xlfn.RANK.EQ(TabSLS[[#This Row],[:17]],TabSLS[[:1]:[:37]],0)</calculatedColumnFormula>
    </tableColumn>
    <tableColumn id="31" name="R19" dataDxfId="626" totalsRowDxfId="625">
      <calculatedColumnFormula>_xlfn.RANK.EQ(TabSLS[[#This Row],[:19]],TabSLS[[:1]:[:37]],0)</calculatedColumnFormula>
    </tableColumn>
    <tableColumn id="32" name="R21" dataDxfId="624" totalsRowDxfId="623">
      <calculatedColumnFormula>_xlfn.RANK.EQ(TabSLS[[#This Row],[:21]],TabSLS[[:1]:[:37]],0)</calculatedColumnFormula>
    </tableColumn>
    <tableColumn id="33" name="R23" dataDxfId="622" totalsRowDxfId="621">
      <calculatedColumnFormula>_xlfn.RANK.EQ(TabSLS[[#This Row],[:23]],TabSLS[[:1]:[:37]],0)</calculatedColumnFormula>
    </tableColumn>
    <tableColumn id="34" name="R25" dataDxfId="620" totalsRowDxfId="619">
      <calculatedColumnFormula>_xlfn.RANK.EQ(TabSLS[[#This Row],[:25]],TabSLS[[:1]:[:37]],0)</calculatedColumnFormula>
    </tableColumn>
    <tableColumn id="35" name="R27" dataDxfId="618" totalsRowDxfId="617">
      <calculatedColumnFormula>_xlfn.RANK.EQ(TabSLS[[#This Row],[:27]],TabSLS[[:1]:[:37]],0)</calculatedColumnFormula>
    </tableColumn>
    <tableColumn id="36" name="R29" dataDxfId="616" totalsRowDxfId="615">
      <calculatedColumnFormula>_xlfn.RANK.EQ(TabSLS[[#This Row],[:29]],TabSLS[[:1]:[:37]],0)</calculatedColumnFormula>
    </tableColumn>
    <tableColumn id="37" name="R31" dataDxfId="614" totalsRowDxfId="613">
      <calculatedColumnFormula>_xlfn.RANK.EQ(TabSLS[[#This Row],[:31]],TabSLS[[:1]:[:37]],0)</calculatedColumnFormula>
    </tableColumn>
    <tableColumn id="38" name="R33" dataDxfId="612" totalsRowDxfId="611">
      <calculatedColumnFormula>_xlfn.RANK.EQ(TabSLS[[#This Row],[:33]],TabSLS[[:1]:[:37]],0)</calculatedColumnFormula>
    </tableColumn>
    <tableColumn id="39" name="R35" dataDxfId="610" totalsRowDxfId="609">
      <calculatedColumnFormula>_xlfn.RANK.EQ(TabSLS[[#This Row],[:35]],TabSLS[[:1]:[:37]],0)</calculatedColumnFormula>
    </tableColumn>
    <tableColumn id="40" name="R37" dataDxfId="608" totalsRowDxfId="607">
      <calculatedColumnFormula>_xlfn.RANK.EQ(TabSLS[[#This Row],[:37]],TabSLS[[:1]:[:37]],0)</calculatedColumnFormula>
    </tableColumn>
    <tableColumn id="41" name="SP1" dataDxfId="606" totalsRowDxfId="605">
      <calculatedColumnFormula>IF(TabSLS[[#This Row],[R1]]&lt;=Sitze_Ausschuss,IF(TabSLS[[#This Row],[R1]]+COUNTIF(TabSLS[[R1]:[R37]],TabSLS[[#This Row],[R1]])-1&lt;=Sitze_Ausschuss,"SITZ","PATT"),"")</calculatedColumnFormula>
    </tableColumn>
    <tableColumn id="42" name="SP3" dataDxfId="604" totalsRowDxfId="603">
      <calculatedColumnFormula>IF(TabSLS[[#This Row],[R3]]&lt;=Sitze_Ausschuss,IF(TabSLS[[#This Row],[R3]]+COUNTIF(TabSLS[[R1]:[R37]],TabSLS[[#This Row],[R3]])-1&lt;=Sitze_Ausschuss,"SITZ","PATT"),"")</calculatedColumnFormula>
    </tableColumn>
    <tableColumn id="43" name="SP5" dataDxfId="602" totalsRowDxfId="601">
      <calculatedColumnFormula>IF(TabSLS[[#This Row],[R5]]&lt;=Sitze_Ausschuss,IF(TabSLS[[#This Row],[R5]]+COUNTIF(TabSLS[[R1]:[R37]],TabSLS[[#This Row],[R5]])-1&lt;=Sitze_Ausschuss,"SITZ","PATT"),"")</calculatedColumnFormula>
    </tableColumn>
    <tableColumn id="44" name="SP7" dataDxfId="600" totalsRowDxfId="599">
      <calculatedColumnFormula>IF(TabSLS[[#This Row],[R7]]&lt;=Sitze_Ausschuss,IF(TabSLS[[#This Row],[R7]]+COUNTIF(TabSLS[[R1]:[R37]],TabSLS[[#This Row],[R7]])-1&lt;=Sitze_Ausschuss,"SITZ","PATT"),"")</calculatedColumnFormula>
    </tableColumn>
    <tableColumn id="45" name="SP9" dataDxfId="598" totalsRowDxfId="597">
      <calculatedColumnFormula>IF(TabSLS[[#This Row],[R9]]&lt;=Sitze_Ausschuss,IF(TabSLS[[#This Row],[R9]]+COUNTIF(TabSLS[[R1]:[R37]],TabSLS[[#This Row],[R9]])-1&lt;=Sitze_Ausschuss,"SITZ","PATT"),"")</calculatedColumnFormula>
    </tableColumn>
    <tableColumn id="46" name="SP11" dataDxfId="596" totalsRowDxfId="595">
      <calculatedColumnFormula>IF(TabSLS[[#This Row],[R11]]&lt;=Sitze_Ausschuss,IF(TabSLS[[#This Row],[R11]]+COUNTIF(TabSLS[[R1]:[R37]],TabSLS[[#This Row],[R11]])-1&lt;=Sitze_Ausschuss,"SITZ","PATT"),"")</calculatedColumnFormula>
    </tableColumn>
    <tableColumn id="47" name="SP13" dataDxfId="594" totalsRowDxfId="593">
      <calculatedColumnFormula>IF(TabSLS[[#This Row],[R13]]&lt;=Sitze_Ausschuss,IF(TabSLS[[#This Row],[R13]]+COUNTIF(TabSLS[[R1]:[R37]],TabSLS[[#This Row],[R13]])-1&lt;=Sitze_Ausschuss,"SITZ","PATT"),"")</calculatedColumnFormula>
    </tableColumn>
    <tableColumn id="48" name="SP15" dataDxfId="592" totalsRowDxfId="591">
      <calculatedColumnFormula>IF(TabSLS[[#This Row],[R15]]&lt;=Sitze_Ausschuss,IF(TabSLS[[#This Row],[R15]]+COUNTIF(TabSLS[[R1]:[R37]],TabSLS[[#This Row],[R15]])-1&lt;=Sitze_Ausschuss,"SITZ","PATT"),"")</calculatedColumnFormula>
    </tableColumn>
    <tableColumn id="49" name="SP17" dataDxfId="590" totalsRowDxfId="589">
      <calculatedColumnFormula>IF(TabSLS[[#This Row],[R17]]&lt;=Sitze_Ausschuss,IF(TabSLS[[#This Row],[R17]]+COUNTIF(TabSLS[[R1]:[R37]],TabSLS[[#This Row],[R17]])-1&lt;=Sitze_Ausschuss,"SITZ","PATT"),"")</calculatedColumnFormula>
    </tableColumn>
    <tableColumn id="50" name="SP19" dataDxfId="588" totalsRowDxfId="587">
      <calculatedColumnFormula>IF(TabSLS[[#This Row],[R19]]&lt;=Sitze_Ausschuss,IF(TabSLS[[#This Row],[R19]]+COUNTIF(TabSLS[[R1]:[R37]],TabSLS[[#This Row],[R19]])-1&lt;=Sitze_Ausschuss,"SITZ","PATT"),"")</calculatedColumnFormula>
    </tableColumn>
    <tableColumn id="51" name="SP21" dataDxfId="586" totalsRowDxfId="585">
      <calculatedColumnFormula>IF(TabSLS[[#This Row],[R21]]&lt;=Sitze_Ausschuss,IF(TabSLS[[#This Row],[R21]]+COUNTIF(TabSLS[[R1]:[R37]],TabSLS[[#This Row],[R21]])-1&lt;=Sitze_Ausschuss,"SITZ","PATT"),"")</calculatedColumnFormula>
    </tableColumn>
    <tableColumn id="52" name="SP23" dataDxfId="584" totalsRowDxfId="583">
      <calculatedColumnFormula>IF(TabSLS[[#This Row],[R23]]&lt;=Sitze_Ausschuss,IF(TabSLS[[#This Row],[R23]]+COUNTIF(TabSLS[[R1]:[R37]],TabSLS[[#This Row],[R23]])-1&lt;=Sitze_Ausschuss,"SITZ","PATT"),"")</calculatedColumnFormula>
    </tableColumn>
    <tableColumn id="53" name="SP25" dataDxfId="582" totalsRowDxfId="581">
      <calculatedColumnFormula>IF(TabSLS[[#This Row],[R25]]&lt;=Sitze_Ausschuss,IF(TabSLS[[#This Row],[R25]]+COUNTIF(TabSLS[[R1]:[R37]],TabSLS[[#This Row],[R25]])-1&lt;=Sitze_Ausschuss,"SITZ","PATT"),"")</calculatedColumnFormula>
    </tableColumn>
    <tableColumn id="54" name="SP27" dataDxfId="580" totalsRowDxfId="579">
      <calculatedColumnFormula>IF(TabSLS[[#This Row],[R27]]&lt;=Sitze_Ausschuss,IF(TabSLS[[#This Row],[R27]]+COUNTIF(TabSLS[[R1]:[R37]],TabSLS[[#This Row],[R27]])-1&lt;=Sitze_Ausschuss,"SITZ","PATT"),"")</calculatedColumnFormula>
    </tableColumn>
    <tableColumn id="55" name="SP29" dataDxfId="578" totalsRowDxfId="577">
      <calculatedColumnFormula>IF(TabSLS[[#This Row],[R29]]&lt;=Sitze_Ausschuss,IF(TabSLS[[#This Row],[R29]]+COUNTIF(TabSLS[[R1]:[R37]],TabSLS[[#This Row],[R29]])-1&lt;=Sitze_Ausschuss,"SITZ","PATT"),"")</calculatedColumnFormula>
    </tableColumn>
    <tableColumn id="56" name="SP31" dataDxfId="576" totalsRowDxfId="575">
      <calculatedColumnFormula>IF(TabSLS[[#This Row],[R31]]&lt;=Sitze_Ausschuss,IF(TabSLS[[#This Row],[R31]]+COUNTIF(TabSLS[[R1]:[R37]],TabSLS[[#This Row],[R31]])-1&lt;=Sitze_Ausschuss,"SITZ","PATT"),"")</calculatedColumnFormula>
    </tableColumn>
    <tableColumn id="57" name="SP33" dataDxfId="574" totalsRowDxfId="573">
      <calculatedColumnFormula>IF(TabSLS[[#This Row],[R33]]&lt;=Sitze_Ausschuss,IF(TabSLS[[#This Row],[R33]]+COUNTIF(TabSLS[[R1]:[R37]],TabSLS[[#This Row],[R33]])-1&lt;=Sitze_Ausschuss,"SITZ","PATT"),"")</calculatedColumnFormula>
    </tableColumn>
    <tableColumn id="58" name="SP35" dataDxfId="572" totalsRowDxfId="571">
      <calculatedColumnFormula>IF(TabSLS[[#This Row],[R35]]&lt;=Sitze_Ausschuss,IF(TabSLS[[#This Row],[R35]]+COUNTIF(TabSLS[[R1]:[R37]],TabSLS[[#This Row],[R35]])-1&lt;=Sitze_Ausschuss,"SITZ","PATT"),"")</calculatedColumnFormula>
    </tableColumn>
    <tableColumn id="59" name="SP37" dataDxfId="570" totalsRowDxfId="569">
      <calculatedColumnFormula>IF(TabSLS[[#This Row],[R37]]&lt;=Sitze_Ausschuss,IF(TabSLS[[#This Row],[R37]]+COUNTIF(TabSLS[[R1]:[R37]],TabSLS[[#This Row],[R37]])-1&lt;=Sitze_Ausschuss,"SITZ","PATT"),"")</calculatedColumnFormula>
    </tableColumn>
    <tableColumn id="60" name="Patt?" totalsRowFunction="custom" dataDxfId="568" totalsRowDxfId="567">
      <calculatedColumnFormula>COUNTIF(TabSLS[[#This Row],[SP1]:[SP37]],"PATT")&gt;0</calculatedColumnFormula>
      <totalsRowFormula array="1">SUM(TabSLS[Patt?]*1)</totalsRowFormula>
    </tableColumn>
    <tableColumn id="61" name="Los Chance" totalsRowFunction="custom" dataDxfId="566" totalsRowDxfId="565" dataCellStyle="Prozent">
      <calculatedColumnFormula>IF(TabSLS[[#This Row],[Patt?]],(Sitze_Ausschuss-SUM(TabSLS[Sitze]))/TabSLS[[#Totals],[Patt?]],0)</calculatedColumnFormula>
      <totalsRowFormula>ROUND(SUM(TabSLS[Los Chance]),0)</totalsRowFormula>
    </tableColumn>
    <tableColumn id="62" name="Stimmen Gelost" dataDxfId="564" totalsRowDxfId="563">
      <calculatedColumnFormula>TabSLS[[#This Row],[Patt?]]*IF(Pattaufloesung="Stimmen",TabPatt[[#This Row],[Stimmen]],0)*1</calculatedColumnFormula>
    </tableColumn>
    <tableColumn id="63" name="Pattgewinn" dataDxfId="562" totalsRowDxfId="561">
      <calculatedColumnFormula>_xlfn.RANK.EQ(TabSLS[[#This Row],[Stimmen Gelost]],TabSLS[Stimmen Gelost],0)&lt;=(Sitze_Ausschuss-SUM(TabSLS[Sitze]))</calculatedColumnFormula>
    </tableColumn>
    <tableColumn id="64" name="QK verletzt" totalsRowFunction="count" dataDxfId="560" totalsRowDxfId="559">
      <calculatedColumnFormula>OR(TabSLS[[#This Row],[Sitze]]&lt;ROUNDDOWN(Grunddaten[[#This Row],[Proporzgenaue Zahl Ausschuss]],0),TabSLS[[#This Row],[Sitze]]+(TabSLS[[#This Row],[Patt?]]*1)&gt;ROUNDUP(Grunddaten[[#This Row],[Proporzgenaue Zahl Ausschuss]],0))</calculatedColumnFormula>
    </tableColumn>
  </tableColumns>
  <tableStyleInfo name="TableStyleMedium16" showFirstColumn="0" showLastColumn="0" showRowStripes="1" showColumnStripes="0"/>
</table>
</file>

<file path=xl/tables/table4.xml><?xml version="1.0" encoding="utf-8"?>
<table xmlns="http://schemas.openxmlformats.org/spreadsheetml/2006/main" id="4" name="TabPatt" displayName="TabPatt" ref="EW6:EX22" totalsRowCount="1" headerRowDxfId="558" dataDxfId="557" totalsRowDxfId="555" tableBorderDxfId="556">
  <autoFilter ref="EW6:EX21">
    <filterColumn colId="0" hiddenButton="1"/>
    <filterColumn colId="1" hiddenButton="1"/>
  </autoFilter>
  <tableColumns count="2">
    <tableColumn id="3" name="Partei Wählergruppe" totalsRowLabel="---" dataDxfId="554" totalsRowDxfId="553" dataCellStyle="Erklärender Text">
      <calculatedColumnFormula>Grunddaten[[#This Row],[Partei/Wählergruppe]]&amp;""</calculatedColumnFormula>
    </tableColumn>
    <tableColumn id="1" name="Stimmen" totalsRowFunction="sum" dataDxfId="552" totalsRowDxfId="551" dataCellStyle="Benutzereingabe"/>
  </tableColumns>
  <tableStyleInfo name="TableStyleMedium18" showFirstColumn="0" showLastColumn="0" showRowStripes="1" showColumnStripes="0"/>
</table>
</file>

<file path=xl/tables/table5.xml><?xml version="1.0" encoding="utf-8"?>
<table xmlns="http://schemas.openxmlformats.org/spreadsheetml/2006/main" id="7" name="TabDH" displayName="TabDH" ref="CJ6:EU22" totalsRowCount="1" headerRowDxfId="550" dataDxfId="549" totalsRowDxfId="548">
  <autoFilter ref="CJ6:EU2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autoFilter>
  <tableColumns count="64">
    <tableColumn id="1" name="Sitze" totalsRowFunction="sum" dataDxfId="547" totalsRowDxfId="546">
      <calculatedColumnFormula>COUNTIF(TabDH[[#This Row],[SP1]:[SP19]],"SITZ")</calculatedColumnFormula>
    </tableColumn>
    <tableColumn id="2" name="Patt Auflösung" totalsRowFunction="sum" dataDxfId="545" totalsRowDxfId="544">
      <calculatedColumnFormula>IF(TabDH[[#This Row],[Patt]],IF(Pattaufloesung="Los-Chance",TabDH[[#This Row],[Los Chance]],TabDH[[#This Row],[Pattgewinn]]+0),0)</calculatedColumnFormula>
    </tableColumn>
    <tableColumn id="3" name=":1" dataDxfId="543" totalsRowDxfId="542">
      <calculatedColumnFormula>Grunddaten[[#This Row],[Sitze im Hauptorgan]]/_xlfn.NUMBERVALUE(MID(INDEX(TabDH[[#Headers],[:1]:[:19]],COLUMN()-COLUMN(TabDH[[#Headers],[:1]])+1),2,3))</calculatedColumnFormula>
    </tableColumn>
    <tableColumn id="4" name=":2" dataDxfId="541" totalsRowDxfId="540">
      <calculatedColumnFormula>Grunddaten[[#This Row],[Sitze im Hauptorgan]]/_xlfn.NUMBERVALUE(MID(INDEX(TabDH[[#Headers],[:1]:[:19]],COLUMN()-COLUMN(TabDH[[#Headers],[:1]])+1),2,3))</calculatedColumnFormula>
    </tableColumn>
    <tableColumn id="5" name=":3" dataDxfId="539" totalsRowDxfId="538">
      <calculatedColumnFormula>Grunddaten[[#This Row],[Sitze im Hauptorgan]]/_xlfn.NUMBERVALUE(MID(INDEX(TabDH[[#Headers],[:1]:[:19]],COLUMN()-COLUMN(TabDH[[#Headers],[:1]])+1),2,3))</calculatedColumnFormula>
    </tableColumn>
    <tableColumn id="6" name=":4" dataDxfId="537" totalsRowDxfId="536">
      <calculatedColumnFormula>Grunddaten[[#This Row],[Sitze im Hauptorgan]]/_xlfn.NUMBERVALUE(MID(INDEX(TabDH[[#Headers],[:1]:[:19]],COLUMN()-COLUMN(TabDH[[#Headers],[:1]])+1),2,3))</calculatedColumnFormula>
    </tableColumn>
    <tableColumn id="7" name=":5" dataDxfId="535" totalsRowDxfId="534">
      <calculatedColumnFormula>Grunddaten[[#This Row],[Sitze im Hauptorgan]]/_xlfn.NUMBERVALUE(MID(INDEX(TabDH[[#Headers],[:1]:[:19]],COLUMN()-COLUMN(TabDH[[#Headers],[:1]])+1),2,3))</calculatedColumnFormula>
    </tableColumn>
    <tableColumn id="8" name=":6" dataDxfId="533" totalsRowDxfId="532">
      <calculatedColumnFormula>Grunddaten[[#This Row],[Sitze im Hauptorgan]]/_xlfn.NUMBERVALUE(MID(INDEX(TabDH[[#Headers],[:1]:[:19]],COLUMN()-COLUMN(TabDH[[#Headers],[:1]])+1),2,3))</calculatedColumnFormula>
    </tableColumn>
    <tableColumn id="9" name=":7" dataDxfId="531" totalsRowDxfId="530">
      <calculatedColumnFormula>Grunddaten[[#This Row],[Sitze im Hauptorgan]]/_xlfn.NUMBERVALUE(MID(INDEX(TabDH[[#Headers],[:1]:[:19]],COLUMN()-COLUMN(TabDH[[#Headers],[:1]])+1),2,3))</calculatedColumnFormula>
    </tableColumn>
    <tableColumn id="10" name=":8" dataDxfId="529" totalsRowDxfId="528">
      <calculatedColumnFormula>Grunddaten[[#This Row],[Sitze im Hauptorgan]]/_xlfn.NUMBERVALUE(MID(INDEX(TabDH[[#Headers],[:1]:[:19]],COLUMN()-COLUMN(TabDH[[#Headers],[:1]])+1),2,3))</calculatedColumnFormula>
    </tableColumn>
    <tableColumn id="11" name=":9" dataDxfId="527" totalsRowDxfId="526">
      <calculatedColumnFormula>Grunddaten[[#This Row],[Sitze im Hauptorgan]]/_xlfn.NUMBERVALUE(MID(INDEX(TabDH[[#Headers],[:1]:[:19]],COLUMN()-COLUMN(TabDH[[#Headers],[:1]])+1),2,3))</calculatedColumnFormula>
    </tableColumn>
    <tableColumn id="12" name=":10" dataDxfId="525" totalsRowDxfId="524">
      <calculatedColumnFormula>Grunddaten[[#This Row],[Sitze im Hauptorgan]]/_xlfn.NUMBERVALUE(MID(INDEX(TabDH[[#Headers],[:1]:[:19]],COLUMN()-COLUMN(TabDH[[#Headers],[:1]])+1),2,3))</calculatedColumnFormula>
    </tableColumn>
    <tableColumn id="13" name=":11" dataDxfId="523" totalsRowDxfId="522">
      <calculatedColumnFormula>Grunddaten[[#This Row],[Sitze im Hauptorgan]]/_xlfn.NUMBERVALUE(MID(INDEX(TabDH[[#Headers],[:1]:[:19]],COLUMN()-COLUMN(TabDH[[#Headers],[:1]])+1),2,3))</calculatedColumnFormula>
    </tableColumn>
    <tableColumn id="14" name=":12" dataDxfId="521" totalsRowDxfId="520">
      <calculatedColumnFormula>Grunddaten[[#This Row],[Sitze im Hauptorgan]]/_xlfn.NUMBERVALUE(MID(INDEX(TabDH[[#Headers],[:1]:[:19]],COLUMN()-COLUMN(TabDH[[#Headers],[:1]])+1),2,3))</calculatedColumnFormula>
    </tableColumn>
    <tableColumn id="15" name=":13" dataDxfId="519" totalsRowDxfId="518">
      <calculatedColumnFormula>Grunddaten[[#This Row],[Sitze im Hauptorgan]]/_xlfn.NUMBERVALUE(MID(INDEX(TabDH[[#Headers],[:1]:[:19]],COLUMN()-COLUMN(TabDH[[#Headers],[:1]])+1),2,3))</calculatedColumnFormula>
    </tableColumn>
    <tableColumn id="16" name=":14" dataDxfId="517" totalsRowDxfId="516">
      <calculatedColumnFormula>Grunddaten[[#This Row],[Sitze im Hauptorgan]]/_xlfn.NUMBERVALUE(MID(INDEX(TabDH[[#Headers],[:1]:[:19]],COLUMN()-COLUMN(TabDH[[#Headers],[:1]])+1),2,3))</calculatedColumnFormula>
    </tableColumn>
    <tableColumn id="17" name=":15" dataDxfId="515" totalsRowDxfId="514">
      <calculatedColumnFormula>Grunddaten[[#This Row],[Sitze im Hauptorgan]]/_xlfn.NUMBERVALUE(MID(INDEX(TabDH[[#Headers],[:1]:[:19]],COLUMN()-COLUMN(TabDH[[#Headers],[:1]])+1),2,3))</calculatedColumnFormula>
    </tableColumn>
    <tableColumn id="18" name=":16" dataDxfId="513" totalsRowDxfId="512">
      <calculatedColumnFormula>Grunddaten[[#This Row],[Sitze im Hauptorgan]]/_xlfn.NUMBERVALUE(MID(INDEX(TabDH[[#Headers],[:1]:[:19]],COLUMN()-COLUMN(TabDH[[#Headers],[:1]])+1),2,3))</calculatedColumnFormula>
    </tableColumn>
    <tableColumn id="19" name=":17" dataDxfId="511" totalsRowDxfId="510">
      <calculatedColumnFormula>Grunddaten[[#This Row],[Sitze im Hauptorgan]]/_xlfn.NUMBERVALUE(MID(INDEX(TabDH[[#Headers],[:1]:[:19]],COLUMN()-COLUMN(TabDH[[#Headers],[:1]])+1),2,3))</calculatedColumnFormula>
    </tableColumn>
    <tableColumn id="20" name=":18" dataDxfId="509" totalsRowDxfId="508">
      <calculatedColumnFormula>Grunddaten[[#This Row],[Sitze im Hauptorgan]]/_xlfn.NUMBERVALUE(MID(INDEX(TabDH[[#Headers],[:1]:[:19]],COLUMN()-COLUMN(TabDH[[#Headers],[:1]])+1),2,3))</calculatedColumnFormula>
    </tableColumn>
    <tableColumn id="21" name=":19" dataDxfId="507" totalsRowDxfId="506">
      <calculatedColumnFormula>Grunddaten[[#This Row],[Sitze im Hauptorgan]]/_xlfn.NUMBERVALUE(MID(INDEX(TabDH[[#Headers],[:1]:[:19]],COLUMN()-COLUMN(TabDH[[#Headers],[:1]])+1),2,3))</calculatedColumnFormula>
    </tableColumn>
    <tableColumn id="22" name="R1" dataDxfId="505" totalsRowDxfId="504">
      <calculatedColumnFormula>_xlfn.RANK.EQ(TabDH[[#This Row],[:1]],TabDH[[:1]:[:19]],0)</calculatedColumnFormula>
    </tableColumn>
    <tableColumn id="23" name="R2" dataDxfId="503" totalsRowDxfId="502">
      <calculatedColumnFormula>_xlfn.RANK.EQ(TabDH[[#This Row],[:2]],TabDH[[:1]:[:19]],0)</calculatedColumnFormula>
    </tableColumn>
    <tableColumn id="24" name="R3" dataDxfId="501" totalsRowDxfId="500">
      <calculatedColumnFormula>_xlfn.RANK.EQ(TabDH[[#This Row],[:3]],TabDH[[:1]:[:19]],0)</calculatedColumnFormula>
    </tableColumn>
    <tableColumn id="25" name="R4" dataDxfId="499" totalsRowDxfId="498">
      <calculatedColumnFormula>_xlfn.RANK.EQ(TabDH[[#This Row],[:4]],TabDH[[:1]:[:19]],0)</calculatedColumnFormula>
    </tableColumn>
    <tableColumn id="26" name="R5" dataDxfId="497" totalsRowDxfId="496">
      <calculatedColumnFormula>_xlfn.RANK.EQ(TabDH[[#This Row],[:5]],TabDH[[:1]:[:19]],0)</calculatedColumnFormula>
    </tableColumn>
    <tableColumn id="27" name="R6" dataDxfId="495" totalsRowDxfId="494">
      <calculatedColumnFormula>_xlfn.RANK.EQ(TabDH[[#This Row],[:6]],TabDH[[:1]:[:19]],0)</calculatedColumnFormula>
    </tableColumn>
    <tableColumn id="28" name="R7" dataDxfId="493" totalsRowDxfId="492">
      <calculatedColumnFormula>_xlfn.RANK.EQ(TabDH[[#This Row],[:7]],TabDH[[:1]:[:19]],0)</calculatedColumnFormula>
    </tableColumn>
    <tableColumn id="29" name="R8" dataDxfId="491" totalsRowDxfId="490">
      <calculatedColumnFormula>_xlfn.RANK.EQ(TabDH[[#This Row],[:8]],TabDH[[:1]:[:19]],0)</calculatedColumnFormula>
    </tableColumn>
    <tableColumn id="30" name="R9" dataDxfId="489" totalsRowDxfId="488">
      <calculatedColumnFormula>_xlfn.RANK.EQ(TabDH[[#This Row],[:9]],TabDH[[:1]:[:19]],0)</calculatedColumnFormula>
    </tableColumn>
    <tableColumn id="31" name="R10" dataDxfId="487" totalsRowDxfId="486">
      <calculatedColumnFormula>_xlfn.RANK.EQ(TabDH[[#This Row],[:10]],TabDH[[:1]:[:19]],0)</calculatedColumnFormula>
    </tableColumn>
    <tableColumn id="32" name="R11" dataDxfId="485" totalsRowDxfId="484">
      <calculatedColumnFormula>_xlfn.RANK.EQ(TabDH[[#This Row],[:11]],TabDH[[:1]:[:19]],0)</calculatedColumnFormula>
    </tableColumn>
    <tableColumn id="33" name="R12" dataDxfId="483" totalsRowDxfId="482">
      <calculatedColumnFormula>_xlfn.RANK.EQ(TabDH[[#This Row],[:12]],TabDH[[:1]:[:19]],0)</calculatedColumnFormula>
    </tableColumn>
    <tableColumn id="34" name="R13" dataDxfId="481" totalsRowDxfId="480">
      <calculatedColumnFormula>_xlfn.RANK.EQ(TabDH[[#This Row],[:13]],TabDH[[:1]:[:19]],0)</calculatedColumnFormula>
    </tableColumn>
    <tableColumn id="35" name="R14" dataDxfId="479" totalsRowDxfId="478">
      <calculatedColumnFormula>_xlfn.RANK.EQ(TabDH[[#This Row],[:14]],TabDH[[:1]:[:19]],0)</calculatedColumnFormula>
    </tableColumn>
    <tableColumn id="36" name="R15" dataDxfId="477" totalsRowDxfId="476">
      <calculatedColumnFormula>_xlfn.RANK.EQ(TabDH[[#This Row],[:15]],TabDH[[:1]:[:19]],0)</calculatedColumnFormula>
    </tableColumn>
    <tableColumn id="37" name="R16" dataDxfId="475" totalsRowDxfId="474">
      <calculatedColumnFormula>_xlfn.RANK.EQ(TabDH[[#This Row],[:16]],TabDH[[:1]:[:19]],0)</calculatedColumnFormula>
    </tableColumn>
    <tableColumn id="38" name="R17" dataDxfId="473" totalsRowDxfId="472">
      <calculatedColumnFormula>_xlfn.RANK.EQ(TabDH[[#This Row],[:17]],TabDH[[:1]:[:19]],0)</calculatedColumnFormula>
    </tableColumn>
    <tableColumn id="39" name="R18" dataDxfId="471" totalsRowDxfId="470">
      <calculatedColumnFormula>_xlfn.RANK.EQ(TabDH[[#This Row],[:18]],TabDH[[:1]:[:19]],0)</calculatedColumnFormula>
    </tableColumn>
    <tableColumn id="40" name="R19" dataDxfId="469" totalsRowDxfId="468">
      <calculatedColumnFormula>_xlfn.RANK.EQ(TabDH[[#This Row],[:19]],TabDH[[:1]:[:19]],0)</calculatedColumnFormula>
    </tableColumn>
    <tableColumn id="41" name="SP1" dataDxfId="467" totalsRowDxfId="466">
      <calculatedColumnFormula>IF(TabDH[[#This Row],[R1]]&lt;=Sitze_Ausschuss,IF(TabDH[[#This Row],[R1]]+COUNTIF(TabDH[[R1]:[R19]],TabDH[[#This Row],[R1]])-1&lt;=Sitze_Ausschuss,"SITZ","PATT"),"")</calculatedColumnFormula>
    </tableColumn>
    <tableColumn id="42" name="SP2" dataDxfId="465" totalsRowDxfId="464">
      <calculatedColumnFormula>IF(TabDH[[#This Row],[R2]]&lt;=Sitze_Ausschuss,IF(TabDH[[#This Row],[R2]]+COUNTIF(TabDH[[R1]:[R19]],TabDH[[#This Row],[R2]])-1&lt;=Sitze_Ausschuss,"SITZ","PATT"),"")</calculatedColumnFormula>
    </tableColumn>
    <tableColumn id="43" name="SP3" dataDxfId="463" totalsRowDxfId="462">
      <calculatedColumnFormula>IF(TabDH[[#This Row],[R3]]&lt;=Sitze_Ausschuss,IF(TabDH[[#This Row],[R3]]+COUNTIF(TabDH[[R1]:[R19]],TabDH[[#This Row],[R3]])-1&lt;=Sitze_Ausschuss,"SITZ","PATT"),"")</calculatedColumnFormula>
    </tableColumn>
    <tableColumn id="44" name="SP4" dataDxfId="461" totalsRowDxfId="460">
      <calculatedColumnFormula>IF(TabDH[[#This Row],[R4]]&lt;=Sitze_Ausschuss,IF(TabDH[[#This Row],[R4]]+COUNTIF(TabDH[[R1]:[R19]],TabDH[[#This Row],[R4]])-1&lt;=Sitze_Ausschuss,"SITZ","PATT"),"")</calculatedColumnFormula>
    </tableColumn>
    <tableColumn id="45" name="SP5" dataDxfId="459" totalsRowDxfId="458">
      <calculatedColumnFormula>IF(TabDH[[#This Row],[R5]]&lt;=Sitze_Ausschuss,IF(TabDH[[#This Row],[R5]]+COUNTIF(TabDH[[R1]:[R19]],TabDH[[#This Row],[R5]])-1&lt;=Sitze_Ausschuss,"SITZ","PATT"),"")</calculatedColumnFormula>
    </tableColumn>
    <tableColumn id="46" name="SP6" dataDxfId="457" totalsRowDxfId="456">
      <calculatedColumnFormula>IF(TabDH[[#This Row],[R6]]&lt;=Sitze_Ausschuss,IF(TabDH[[#This Row],[R6]]+COUNTIF(TabDH[[R1]:[R19]],TabDH[[#This Row],[R6]])-1&lt;=Sitze_Ausschuss,"SITZ","PATT"),"")</calculatedColumnFormula>
    </tableColumn>
    <tableColumn id="47" name="SP7" dataDxfId="455" totalsRowDxfId="454">
      <calculatedColumnFormula>IF(TabDH[[#This Row],[R7]]&lt;=Sitze_Ausschuss,IF(TabDH[[#This Row],[R7]]+COUNTIF(TabDH[[R1]:[R19]],TabDH[[#This Row],[R7]])-1&lt;=Sitze_Ausschuss,"SITZ","PATT"),"")</calculatedColumnFormula>
    </tableColumn>
    <tableColumn id="48" name="SP8" dataDxfId="453" totalsRowDxfId="452">
      <calculatedColumnFormula>IF(TabDH[[#This Row],[R8]]&lt;=Sitze_Ausschuss,IF(TabDH[[#This Row],[R8]]+COUNTIF(TabDH[[R1]:[R19]],TabDH[[#This Row],[R8]])-1&lt;=Sitze_Ausschuss,"SITZ","PATT"),"")</calculatedColumnFormula>
    </tableColumn>
    <tableColumn id="49" name="SP9" dataDxfId="451" totalsRowDxfId="450">
      <calculatedColumnFormula>IF(TabDH[[#This Row],[R9]]&lt;=Sitze_Ausschuss,IF(TabDH[[#This Row],[R9]]+COUNTIF(TabDH[[R1]:[R19]],TabDH[[#This Row],[R9]])-1&lt;=Sitze_Ausschuss,"SITZ","PATT"),"")</calculatedColumnFormula>
    </tableColumn>
    <tableColumn id="50" name="SP10" dataDxfId="449" totalsRowDxfId="448">
      <calculatedColumnFormula>IF(TabDH[[#This Row],[R10]]&lt;=Sitze_Ausschuss,IF(TabDH[[#This Row],[R10]]+COUNTIF(TabDH[[R1]:[R19]],TabDH[[#This Row],[R10]])-1&lt;=Sitze_Ausschuss,"SITZ","PATT"),"")</calculatedColumnFormula>
    </tableColumn>
    <tableColumn id="51" name="SP11" dataDxfId="447" totalsRowDxfId="446">
      <calculatedColumnFormula>IF(TabDH[[#This Row],[R11]]&lt;=Sitze_Ausschuss,IF(TabDH[[#This Row],[R11]]+COUNTIF(TabDH[[R1]:[R19]],TabDH[[#This Row],[R11]])-1&lt;=Sitze_Ausschuss,"SITZ","PATT"),"")</calculatedColumnFormula>
    </tableColumn>
    <tableColumn id="52" name="SP12" dataDxfId="445" totalsRowDxfId="444">
      <calculatedColumnFormula>IF(TabDH[[#This Row],[R12]]&lt;=Sitze_Ausschuss,IF(TabDH[[#This Row],[R12]]+COUNTIF(TabDH[[R1]:[R19]],TabDH[[#This Row],[R12]])-1&lt;=Sitze_Ausschuss,"SITZ","PATT"),"")</calculatedColumnFormula>
    </tableColumn>
    <tableColumn id="53" name="SP13" dataDxfId="443" totalsRowDxfId="442">
      <calculatedColumnFormula>IF(TabDH[[#This Row],[R13]]&lt;=Sitze_Ausschuss,IF(TabDH[[#This Row],[R13]]+COUNTIF(TabDH[[R1]:[R19]],TabDH[[#This Row],[R13]])-1&lt;=Sitze_Ausschuss,"SITZ","PATT"),"")</calculatedColumnFormula>
    </tableColumn>
    <tableColumn id="54" name="SP14" dataDxfId="441" totalsRowDxfId="440">
      <calculatedColumnFormula>IF(TabDH[[#This Row],[R14]]&lt;=Sitze_Ausschuss,IF(TabDH[[#This Row],[R14]]+COUNTIF(TabDH[[R1]:[R19]],TabDH[[#This Row],[R14]])-1&lt;=Sitze_Ausschuss,"SITZ","PATT"),"")</calculatedColumnFormula>
    </tableColumn>
    <tableColumn id="55" name="SP15" dataDxfId="439" totalsRowDxfId="438">
      <calculatedColumnFormula>IF(TabDH[[#This Row],[R15]]&lt;=Sitze_Ausschuss,IF(TabDH[[#This Row],[R15]]+COUNTIF(TabDH[[R1]:[R19]],TabDH[[#This Row],[R15]])-1&lt;=Sitze_Ausschuss,"SITZ","PATT"),"")</calculatedColumnFormula>
    </tableColumn>
    <tableColumn id="56" name="SP16" dataDxfId="437" totalsRowDxfId="436">
      <calculatedColumnFormula>IF(TabDH[[#This Row],[R16]]&lt;=Sitze_Ausschuss,IF(TabDH[[#This Row],[R16]]+COUNTIF(TabDH[[R1]:[R19]],TabDH[[#This Row],[R16]])-1&lt;=Sitze_Ausschuss,"SITZ","PATT"),"")</calculatedColumnFormula>
    </tableColumn>
    <tableColumn id="57" name="SP17" dataDxfId="435" totalsRowDxfId="434">
      <calculatedColumnFormula>IF(TabDH[[#This Row],[R17]]&lt;=Sitze_Ausschuss,IF(TabDH[[#This Row],[R17]]+COUNTIF(TabDH[[R1]:[R19]],TabDH[[#This Row],[R17]])-1&lt;=Sitze_Ausschuss,"SITZ","PATT"),"")</calculatedColumnFormula>
    </tableColumn>
    <tableColumn id="58" name="SP18" dataDxfId="433" totalsRowDxfId="432">
      <calculatedColumnFormula>IF(TabDH[[#This Row],[R18]]&lt;=Sitze_Ausschuss,IF(TabDH[[#This Row],[R18]]+COUNTIF(TabDH[[R1]:[R19]],TabDH[[#This Row],[R18]])-1&lt;=Sitze_Ausschuss,"SITZ","PATT"),"")</calculatedColumnFormula>
    </tableColumn>
    <tableColumn id="59" name="SP19" dataDxfId="431" totalsRowDxfId="430">
      <calculatedColumnFormula>IF(TabDH[[#This Row],[R19]]&lt;=Sitze_Ausschuss,IF(TabDH[[#This Row],[R19]]+COUNTIF(TabDH[[R1]:[R19]],TabDH[[#This Row],[R19]])-1&lt;=Sitze_Ausschuss,"SITZ","PATT"),"")</calculatedColumnFormula>
    </tableColumn>
    <tableColumn id="60" name="Patt" totalsRowFunction="custom" dataDxfId="429" totalsRowDxfId="428">
      <calculatedColumnFormula>COUNTIF(TabDH[[#This Row],[SP1]:[SP19]],"PATT")&gt;0</calculatedColumnFormula>
      <totalsRowFormula array="1">SUM(TabDH[Patt]*1)</totalsRowFormula>
    </tableColumn>
    <tableColumn id="61" name="Los Chance" totalsRowFunction="custom" dataDxfId="427" totalsRowDxfId="426" dataCellStyle="Prozent">
      <calculatedColumnFormula>IF(TabDH[[#This Row],[Patt]],(Sitze_Ausschuss-SUM(TabDH[Sitze]))/TabDH[[#Totals],[Patt]],0)</calculatedColumnFormula>
      <totalsRowFormula>ROUND(SUM(TabDH[Los Chance]),0)</totalsRowFormula>
    </tableColumn>
    <tableColumn id="62" name="Stimmen/Gelost" dataDxfId="425" totalsRowDxfId="424">
      <calculatedColumnFormula>TabDH[[#This Row],[Patt]]*IF(Pattaufloesung="Stimmen",TabPatt[[#This Row],[Stimmen]],0)*1</calculatedColumnFormula>
    </tableColumn>
    <tableColumn id="63" name="Pattgewinn" dataDxfId="423" totalsRowDxfId="422">
      <calculatedColumnFormula>_xlfn.RANK.EQ(TabDH[[#This Row],[Stimmen/Gelost]],TabDH[Stimmen/Gelost],0)&lt;=(Sitze_Ausschuss-SUM(TabDH[Sitze]))</calculatedColumnFormula>
    </tableColumn>
    <tableColumn id="64" name="QK verletzt" totalsRowFunction="count" dataDxfId="421" totalsRowDxfId="420">
      <calculatedColumnFormula>OR(TabDH[[#This Row],[Sitze]]&lt;ROUNDDOWN(Grunddaten[[#This Row],[Proporzgenaue Zahl Ausschuss]],0),TabDH[[#This Row],[Sitze]]+(TabDH[[#This Row],[Patt]]*1)&gt;ROUNDUP(Grunddaten[[#This Row],[Proporzgenaue Zahl Ausschuss]],0))</calculatedColumnFormula>
    </tableColumn>
  </tableColumns>
  <tableStyleInfo name="TableStyleMedium17" showFirstColumn="0" showLastColumn="0" showRowStripes="1" showColumnStripes="0"/>
</table>
</file>

<file path=xl/tables/table6.xml><?xml version="1.0" encoding="utf-8"?>
<table xmlns="http://schemas.openxmlformats.org/spreadsheetml/2006/main" id="6" name="Grunddaten7" displayName="Grunddaten7" ref="B6:K22" totalsRowCount="1" headerRowDxfId="391" dataDxfId="390" totalsRowDxfId="388" tableBorderDxfId="389" headerRowCellStyle="Standard" dataCellStyle="Standard" totalsRowCellStyle="Standard">
  <tableColumns count="10">
    <tableColumn id="1" name="Partei/Wählergruppe" totalsRowLabel="Summe" dataDxfId="387" totalsRowDxfId="386" dataCellStyle="Standard">
      <calculatedColumnFormula>IFERROR(VLOOKUP(ROW()-6,Hilf_Parteien,2,FALSE),"")</calculatedColumnFormula>
    </tableColumn>
    <tableColumn id="3" name="Sitze im Hauptorgan" totalsRowFunction="sum" dataDxfId="385" totalsRowDxfId="384" dataCellStyle="Standard">
      <calculatedColumnFormula>IFERROR(VLOOKUP(ROW()-6,Hilf_Parteien,3,FALSE),0)</calculatedColumnFormula>
    </tableColumn>
    <tableColumn id="4" name="Proporzgenaue Zahl Ausschuss" totalsRowFunction="sum" dataDxfId="383" totalsRowDxfId="382" dataCellStyle="Standard">
      <calculatedColumnFormula>Grunddaten7[[#This Row],[Sitze im Hauptorgan]]/Grunddaten7[[#Totals],[Sitze im Hauptorgan]]*Sitze_Ausschuss</calculatedColumnFormula>
    </tableColumn>
    <tableColumn id="6" name="Quoten-_x000a_kriterium" totalsRowLabel="---" dataDxfId="381" totalsRowDxfId="380" dataCellStyle="Standard">
      <calculatedColumnFormula>IF(ROUNDDOWN(Grunddaten7[[#This Row],[Proporzgenaue Zahl Ausschuss]],0)&lt;&gt;ROUNDUP(Grunddaten7[[#This Row],[Proporzgenaue Zahl Ausschuss]],0), ROUNDDOWN(Grunddaten7[[#This Row],[Proporzgenaue Zahl Ausschuss]],0)&amp;" oder "&amp;ROUNDUP(Grunddaten7[[#This Row],[Proporzgenaue Zahl Ausschuss]],0),ROUND(Grunddaten7[[#This Row],[Proporzgenaue Zahl Ausschuss]],0))</calculatedColumnFormula>
    </tableColumn>
    <tableColumn id="5" name="H/N" totalsRowLabel="---" dataDxfId="379" totalsRowDxfId="378" dataCellStyle="Standard">
      <calculatedColumnFormula>"OK"</calculatedColumnFormula>
    </tableColumn>
    <tableColumn id="7" name="SL/S" totalsRowLabel="---" dataDxfId="377" totalsRowDxfId="376" dataCellStyle="Standard">
      <calculatedColumnFormula>IF(TabSLS10[[#This Row],[QK verletzt]],"NOK","OK")</calculatedColumnFormula>
    </tableColumn>
    <tableColumn id="8" name="d'H" totalsRowLabel="---" dataDxfId="375" totalsRowDxfId="374" dataCellStyle="Standard">
      <calculatedColumnFormula>IF(TabDH12[[#This Row],[QK verletzt]],"NOK","OK")</calculatedColumnFormula>
    </tableColumn>
    <tableColumn id="9" name="H/N_x000a_ohne" dataDxfId="373" totalsRowDxfId="372" dataCellStyle="Standard">
      <calculatedColumnFormula>IFERROR(VLOOKUP(ROW()-6,Hilf_Parteien,9,FALSE),0)</calculatedColumnFormula>
    </tableColumn>
    <tableColumn id="10" name="SL/S_x000a_ohne" dataDxfId="371" totalsRowDxfId="370" dataCellStyle="Standard">
      <calculatedColumnFormula>IFERROR(VLOOKUP(ROW()-6,Hilf_Parteien,10,FALSE),0)</calculatedColumnFormula>
    </tableColumn>
    <tableColumn id="11" name="d'H_x000a_ohne" dataDxfId="369" totalsRowDxfId="368" dataCellStyle="Standard">
      <calculatedColumnFormula>IFERROR(VLOOKUP(ROW()-6,Hilf_Parteien,11,FALSE),0)</calculatedColumnFormula>
    </tableColumn>
  </tableColumns>
  <tableStyleInfo name="TableStyleMedium18" showFirstColumn="0" showLastColumn="0" showRowStripes="1" showColumnStripes="0"/>
</table>
</file>

<file path=xl/tables/table7.xml><?xml version="1.0" encoding="utf-8"?>
<table xmlns="http://schemas.openxmlformats.org/spreadsheetml/2006/main" id="8" name="TabHN9" displayName="TabHN9" ref="M6:V22" totalsRowCount="1" headerRowDxfId="367" dataDxfId="366" totalsRowDxfId="365" dataCellStyle="Standard">
  <autoFilter ref="M6:V2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name="Sitze" totalsRowFunction="sum" dataDxfId="364" totalsRowDxfId="363" dataCellStyle="Standard">
      <calculatedColumnFormula>TabHN9[[#This Row],[S ganz]]+IF(NOT(TabHN9[[#This Row],[Patt]]),TabHN9[[#This Row],[Restsitz]],0)</calculatedColumnFormula>
    </tableColumn>
    <tableColumn id="2" name="Patt Auflösung" totalsRowFunction="sum" dataDxfId="362" totalsRowDxfId="361" dataCellStyle="Standard">
      <calculatedColumnFormula>IF(TabHN9[[#This Row],[Patt]],IF(Pattaufloesung="Los-Chance",TabHN9[[#This Row],[Los Chance]],TabHN9[[#This Row],[Pattgewinn]]+0),0)</calculatedColumnFormula>
    </tableColumn>
    <tableColumn id="3" name="S ganz" totalsRowFunction="sum" dataDxfId="360" totalsRowDxfId="359" dataCellStyle="Standard">
      <calculatedColumnFormula>INT(Grunddaten7[[#This Row],[Proporzgenaue Zahl Ausschuss]])</calculatedColumnFormula>
    </tableColumn>
    <tableColumn id="4" name="S Rest" totalsRowFunction="custom" dataDxfId="358" totalsRowDxfId="357" dataCellStyle="Standard">
      <calculatedColumnFormula>ROUND(Grunddaten7[[#This Row],[Proporzgenaue Zahl Ausschuss]]-TabHN9[[#This Row],[S ganz]],4)</calculatedColumnFormula>
      <totalsRowFormula>ROUND(SUM(TabHN9[S Rest]),0)</totalsRowFormula>
    </tableColumn>
    <tableColumn id="5" name="Rng Rest" dataDxfId="356" totalsRowDxfId="355" dataCellStyle="Standard">
      <calculatedColumnFormula>_xlfn.RANK.EQ(TabHN9[[#This Row],[S Rest]],TabHN9[S Rest],0)</calculatedColumnFormula>
    </tableColumn>
    <tableColumn id="6" name="Restsitz" totalsRowFunction="custom" dataDxfId="354" totalsRowDxfId="353" dataCellStyle="Standard">
      <calculatedColumnFormula>IF(TabHN9[[#This Row],[Rng Rest]]&lt;=TabHN9[[#Totals],[S Rest]],1,0)</calculatedColumnFormula>
      <totalsRowFormula>COUNTIF(TabHN9[Patt],"=WAHR")*(-1)+SUM(TabHN9[Restsitz])</totalsRowFormula>
    </tableColumn>
    <tableColumn id="7" name="Patt" totalsRowFunction="custom" dataDxfId="352" totalsRowDxfId="351" dataCellStyle="Standard">
      <calculatedColumnFormula>AND(TabHN9[[#This Row],[Restsitz]]=1,(COUNTIF(TabHN9[Rng Rest],TabHN9[[#This Row],[Rng Rest]])+TabHN9[[#This Row],[Rng Rest]]-1)&gt;TabHN9[[#Totals],[S Rest]])</calculatedColumnFormula>
      <totalsRowFormula array="1">SUM(TabHN9[Patt]*1)</totalsRowFormula>
    </tableColumn>
    <tableColumn id="8" name="Los Chance" totalsRowFunction="custom" dataDxfId="350" totalsRowDxfId="349" dataCellStyle="Prozent">
      <calculatedColumnFormula>IF(TabHN9[[#This Row],[Patt]],(Sitze_Ausschuss-SUM(TabHN9[Sitze]))/TabHN9[[#Totals],[Patt]],0)</calculatedColumnFormula>
      <totalsRowFormula>ROUND(SUM(TabHN9[Los Chance]),0)</totalsRowFormula>
    </tableColumn>
    <tableColumn id="9" name="Stimmen/Gelost" dataDxfId="348" totalsRowDxfId="347" dataCellStyle="Standard">
      <calculatedColumnFormula>TabHN9[[#This Row],[Patt]]*IF(Pattaufloesung="Stimmen",TabPatt11[[#This Row],[Stimmen]],0)*1</calculatedColumnFormula>
    </tableColumn>
    <tableColumn id="10" name="Pattgewinn" dataDxfId="346" totalsRowDxfId="345" dataCellStyle="Standard">
      <calculatedColumnFormula>_xlfn.RANK.EQ(TabHN9[[#This Row],[Stimmen/Gelost]],TabHN9[Stimmen/Gelost],0)&lt;=(Sitze_Ausschuss-SUM(TabHN9[Sitze]))</calculatedColumnFormula>
    </tableColumn>
  </tableColumns>
  <tableStyleInfo name="TableStyleMedium20" showFirstColumn="0" showLastColumn="0" showRowStripes="1" showColumnStripes="0"/>
</table>
</file>

<file path=xl/tables/table8.xml><?xml version="1.0" encoding="utf-8"?>
<table xmlns="http://schemas.openxmlformats.org/spreadsheetml/2006/main" id="9" name="TabSLS10" displayName="TabSLS10" ref="X6:CI22" totalsRowCount="1" headerRowDxfId="344" dataDxfId="343" totalsRowDxfId="342">
  <autoFilter ref="X6:CI2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autoFilter>
  <tableColumns count="64">
    <tableColumn id="1" name="Sitze" totalsRowFunction="sum" dataDxfId="341" totalsRowDxfId="340">
      <calculatedColumnFormula>COUNTIF(TabSLS10[[#This Row],[SP1]:[SP37]],"SITZ")</calculatedColumnFormula>
    </tableColumn>
    <tableColumn id="2" name="Patt Auflösung" totalsRowFunction="sum" dataDxfId="339" totalsRowDxfId="338">
      <calculatedColumnFormula>IF(TabSLS10[[#This Row],[Patt?]],IF(Pattaufloesung="Los-Chance",TabSLS10[[#This Row],[Los Chance]],TabSLS10[[#This Row],[Pattgewinn]]+0),0)</calculatedColumnFormula>
    </tableColumn>
    <tableColumn id="3" name=":1" dataDxfId="337" totalsRowDxfId="336">
      <calculatedColumnFormula>Grunddaten7[[#This Row],[Sitze im Hauptorgan]]/_xlfn.NUMBERVALUE(MID(INDEX(TabSLS10[[#Headers],[:1]:[:37]],COLUMN()-COLUMN(TabSLS10[[#Headers],[:1]])+1),2,3))</calculatedColumnFormula>
    </tableColumn>
    <tableColumn id="4" name=":3" dataDxfId="335" totalsRowDxfId="334">
      <calculatedColumnFormula>Grunddaten7[[#This Row],[Sitze im Hauptorgan]]/_xlfn.NUMBERVALUE(MID(INDEX(TabSLS10[[#Headers],[:1]:[:37]],COLUMN()-COLUMN(TabSLS10[[#Headers],[:1]])+1),2,3))</calculatedColumnFormula>
    </tableColumn>
    <tableColumn id="5" name=":5" dataDxfId="333" totalsRowDxfId="332">
      <calculatedColumnFormula>Grunddaten7[[#This Row],[Sitze im Hauptorgan]]/_xlfn.NUMBERVALUE(MID(INDEX(TabSLS10[[#Headers],[:1]:[:37]],COLUMN()-COLUMN(TabSLS10[[#Headers],[:1]])+1),2,3))</calculatedColumnFormula>
    </tableColumn>
    <tableColumn id="6" name=":7" dataDxfId="331" totalsRowDxfId="330">
      <calculatedColumnFormula>Grunddaten7[[#This Row],[Sitze im Hauptorgan]]/_xlfn.NUMBERVALUE(MID(INDEX(TabSLS10[[#Headers],[:1]:[:37]],COLUMN()-COLUMN(TabSLS10[[#Headers],[:1]])+1),2,3))</calculatedColumnFormula>
    </tableColumn>
    <tableColumn id="7" name=":9" dataDxfId="329" totalsRowDxfId="328">
      <calculatedColumnFormula>Grunddaten7[[#This Row],[Sitze im Hauptorgan]]/_xlfn.NUMBERVALUE(MID(INDEX(TabSLS10[[#Headers],[:1]:[:37]],COLUMN()-COLUMN(TabSLS10[[#Headers],[:1]])+1),2,3))</calculatedColumnFormula>
    </tableColumn>
    <tableColumn id="8" name=":11" dataDxfId="327" totalsRowDxfId="326">
      <calculatedColumnFormula>Grunddaten7[[#This Row],[Sitze im Hauptorgan]]/_xlfn.NUMBERVALUE(MID(INDEX(TabSLS10[[#Headers],[:1]:[:37]],COLUMN()-COLUMN(TabSLS10[[#Headers],[:1]])+1),2,3))</calculatedColumnFormula>
    </tableColumn>
    <tableColumn id="9" name=":13" dataDxfId="325" totalsRowDxfId="324">
      <calculatedColumnFormula>Grunddaten7[[#This Row],[Sitze im Hauptorgan]]/_xlfn.NUMBERVALUE(MID(INDEX(TabSLS10[[#Headers],[:1]:[:37]],COLUMN()-COLUMN(TabSLS10[[#Headers],[:1]])+1),2,3))</calculatedColumnFormula>
    </tableColumn>
    <tableColumn id="10" name=":15" dataDxfId="323" totalsRowDxfId="322">
      <calculatedColumnFormula>Grunddaten7[[#This Row],[Sitze im Hauptorgan]]/_xlfn.NUMBERVALUE(MID(INDEX(TabSLS10[[#Headers],[:1]:[:37]],COLUMN()-COLUMN(TabSLS10[[#Headers],[:1]])+1),2,3))</calculatedColumnFormula>
    </tableColumn>
    <tableColumn id="11" name=":17" dataDxfId="321" totalsRowDxfId="320">
      <calculatedColumnFormula>Grunddaten7[[#This Row],[Sitze im Hauptorgan]]/_xlfn.NUMBERVALUE(MID(INDEX(TabSLS10[[#Headers],[:1]:[:37]],COLUMN()-COLUMN(TabSLS10[[#Headers],[:1]])+1),2,3))</calculatedColumnFormula>
    </tableColumn>
    <tableColumn id="12" name=":19" dataDxfId="319" totalsRowDxfId="318">
      <calculatedColumnFormula>Grunddaten7[[#This Row],[Sitze im Hauptorgan]]/_xlfn.NUMBERVALUE(MID(INDEX(TabSLS10[[#Headers],[:1]:[:37]],COLUMN()-COLUMN(TabSLS10[[#Headers],[:1]])+1),2,3))</calculatedColumnFormula>
    </tableColumn>
    <tableColumn id="13" name=":21" dataDxfId="317" totalsRowDxfId="316">
      <calculatedColumnFormula>Grunddaten7[[#This Row],[Sitze im Hauptorgan]]/_xlfn.NUMBERVALUE(MID(INDEX(TabSLS10[[#Headers],[:1]:[:37]],COLUMN()-COLUMN(TabSLS10[[#Headers],[:1]])+1),2,3))</calculatedColumnFormula>
    </tableColumn>
    <tableColumn id="14" name=":23" dataDxfId="315" totalsRowDxfId="314">
      <calculatedColumnFormula>Grunddaten7[[#This Row],[Sitze im Hauptorgan]]/_xlfn.NUMBERVALUE(MID(INDEX(TabSLS10[[#Headers],[:1]:[:37]],COLUMN()-COLUMN(TabSLS10[[#Headers],[:1]])+1),2,3))</calculatedColumnFormula>
    </tableColumn>
    <tableColumn id="15" name=":25" dataDxfId="313" totalsRowDxfId="312">
      <calculatedColumnFormula>Grunddaten7[[#This Row],[Sitze im Hauptorgan]]/_xlfn.NUMBERVALUE(MID(INDEX(TabSLS10[[#Headers],[:1]:[:37]],COLUMN()-COLUMN(TabSLS10[[#Headers],[:1]])+1),2,3))</calculatedColumnFormula>
    </tableColumn>
    <tableColumn id="16" name=":27" dataDxfId="311" totalsRowDxfId="310">
      <calculatedColumnFormula>Grunddaten7[[#This Row],[Sitze im Hauptorgan]]/_xlfn.NUMBERVALUE(MID(INDEX(TabSLS10[[#Headers],[:1]:[:37]],COLUMN()-COLUMN(TabSLS10[[#Headers],[:1]])+1),2,3))</calculatedColumnFormula>
    </tableColumn>
    <tableColumn id="17" name=":29" dataDxfId="309" totalsRowDxfId="308">
      <calculatedColumnFormula>Grunddaten7[[#This Row],[Sitze im Hauptorgan]]/_xlfn.NUMBERVALUE(MID(INDEX(TabSLS10[[#Headers],[:1]:[:37]],COLUMN()-COLUMN(TabSLS10[[#Headers],[:1]])+1),2,3))</calculatedColumnFormula>
    </tableColumn>
    <tableColumn id="18" name=":31" dataDxfId="307" totalsRowDxfId="306">
      <calculatedColumnFormula>Grunddaten7[[#This Row],[Sitze im Hauptorgan]]/_xlfn.NUMBERVALUE(MID(INDEX(TabSLS10[[#Headers],[:1]:[:37]],COLUMN()-COLUMN(TabSLS10[[#Headers],[:1]])+1),2,3))</calculatedColumnFormula>
    </tableColumn>
    <tableColumn id="19" name=":33" dataDxfId="305" totalsRowDxfId="304">
      <calculatedColumnFormula>Grunddaten7[[#This Row],[Sitze im Hauptorgan]]/_xlfn.NUMBERVALUE(MID(INDEX(TabSLS10[[#Headers],[:1]:[:37]],COLUMN()-COLUMN(TabSLS10[[#Headers],[:1]])+1),2,3))</calculatedColumnFormula>
    </tableColumn>
    <tableColumn id="20" name=":35" dataDxfId="303" totalsRowDxfId="302">
      <calculatedColumnFormula>Grunddaten7[[#This Row],[Sitze im Hauptorgan]]/_xlfn.NUMBERVALUE(MID(INDEX(TabSLS10[[#Headers],[:1]:[:37]],COLUMN()-COLUMN(TabSLS10[[#Headers],[:1]])+1),2,3))</calculatedColumnFormula>
    </tableColumn>
    <tableColumn id="21" name=":37" dataDxfId="301" totalsRowDxfId="300">
      <calculatedColumnFormula>Grunddaten7[[#This Row],[Sitze im Hauptorgan]]/_xlfn.NUMBERVALUE(MID(INDEX(TabSLS10[[#Headers],[:1]:[:37]],COLUMN()-COLUMN(TabSLS10[[#Headers],[:1]])+1),2,3))</calculatedColumnFormula>
    </tableColumn>
    <tableColumn id="22" name="R1" dataDxfId="299" totalsRowDxfId="298">
      <calculatedColumnFormula>_xlfn.RANK.EQ(TabSLS10[[#This Row],[:1]],TabSLS10[[:1]:[:37]],0)</calculatedColumnFormula>
    </tableColumn>
    <tableColumn id="23" name="R3" dataDxfId="297" totalsRowDxfId="296">
      <calculatedColumnFormula>_xlfn.RANK.EQ(TabSLS10[[#This Row],[:3]],TabSLS10[[:1]:[:37]],0)</calculatedColumnFormula>
    </tableColumn>
    <tableColumn id="24" name="R5" dataDxfId="295" totalsRowDxfId="294">
      <calculatedColumnFormula>_xlfn.RANK.EQ(TabSLS10[[#This Row],[:5]],TabSLS10[[:1]:[:37]],0)</calculatedColumnFormula>
    </tableColumn>
    <tableColumn id="25" name="R7" dataDxfId="293" totalsRowDxfId="292">
      <calculatedColumnFormula>_xlfn.RANK.EQ(TabSLS10[[#This Row],[:7]],TabSLS10[[:1]:[:37]],0)</calculatedColumnFormula>
    </tableColumn>
    <tableColumn id="26" name="R9" dataDxfId="291" totalsRowDxfId="290">
      <calculatedColumnFormula>_xlfn.RANK.EQ(TabSLS10[[#This Row],[:9]],TabSLS10[[:1]:[:37]],0)</calculatedColumnFormula>
    </tableColumn>
    <tableColumn id="27" name="R11" dataDxfId="289" totalsRowDxfId="288">
      <calculatedColumnFormula>_xlfn.RANK.EQ(TabSLS10[[#This Row],[:11]],TabSLS10[[:1]:[:37]],0)</calculatedColumnFormula>
    </tableColumn>
    <tableColumn id="28" name="R13" dataDxfId="287" totalsRowDxfId="286">
      <calculatedColumnFormula>_xlfn.RANK.EQ(TabSLS10[[#This Row],[:13]],TabSLS10[[:1]:[:37]],0)</calculatedColumnFormula>
    </tableColumn>
    <tableColumn id="29" name="R15" dataDxfId="285" totalsRowDxfId="284">
      <calculatedColumnFormula>_xlfn.RANK.EQ(TabSLS10[[#This Row],[:15]],TabSLS10[[:1]:[:37]],0)</calculatedColumnFormula>
    </tableColumn>
    <tableColumn id="30" name="R17" dataDxfId="283" totalsRowDxfId="282">
      <calculatedColumnFormula>_xlfn.RANK.EQ(TabSLS10[[#This Row],[:17]],TabSLS10[[:1]:[:37]],0)</calculatedColumnFormula>
    </tableColumn>
    <tableColumn id="31" name="R19" dataDxfId="281" totalsRowDxfId="280">
      <calculatedColumnFormula>_xlfn.RANK.EQ(TabSLS10[[#This Row],[:19]],TabSLS10[[:1]:[:37]],0)</calculatedColumnFormula>
    </tableColumn>
    <tableColumn id="32" name="R21" dataDxfId="279" totalsRowDxfId="278">
      <calculatedColumnFormula>_xlfn.RANK.EQ(TabSLS10[[#This Row],[:21]],TabSLS10[[:1]:[:37]],0)</calculatedColumnFormula>
    </tableColumn>
    <tableColumn id="33" name="R23" dataDxfId="277" totalsRowDxfId="276">
      <calculatedColumnFormula>_xlfn.RANK.EQ(TabSLS10[[#This Row],[:23]],TabSLS10[[:1]:[:37]],0)</calculatedColumnFormula>
    </tableColumn>
    <tableColumn id="34" name="R25" dataDxfId="275" totalsRowDxfId="274">
      <calculatedColumnFormula>_xlfn.RANK.EQ(TabSLS10[[#This Row],[:25]],TabSLS10[[:1]:[:37]],0)</calculatedColumnFormula>
    </tableColumn>
    <tableColumn id="35" name="R27" dataDxfId="273" totalsRowDxfId="272">
      <calculatedColumnFormula>_xlfn.RANK.EQ(TabSLS10[[#This Row],[:27]],TabSLS10[[:1]:[:37]],0)</calculatedColumnFormula>
    </tableColumn>
    <tableColumn id="36" name="R29" dataDxfId="271" totalsRowDxfId="270">
      <calculatedColumnFormula>_xlfn.RANK.EQ(TabSLS10[[#This Row],[:29]],TabSLS10[[:1]:[:37]],0)</calculatedColumnFormula>
    </tableColumn>
    <tableColumn id="37" name="R31" dataDxfId="269" totalsRowDxfId="268">
      <calculatedColumnFormula>_xlfn.RANK.EQ(TabSLS10[[#This Row],[:31]],TabSLS10[[:1]:[:37]],0)</calculatedColumnFormula>
    </tableColumn>
    <tableColumn id="38" name="R33" dataDxfId="267" totalsRowDxfId="266">
      <calculatedColumnFormula>_xlfn.RANK.EQ(TabSLS10[[#This Row],[:33]],TabSLS10[[:1]:[:37]],0)</calculatedColumnFormula>
    </tableColumn>
    <tableColumn id="39" name="R35" dataDxfId="265" totalsRowDxfId="264">
      <calculatedColumnFormula>_xlfn.RANK.EQ(TabSLS10[[#This Row],[:35]],TabSLS10[[:1]:[:37]],0)</calculatedColumnFormula>
    </tableColumn>
    <tableColumn id="40" name="R37" dataDxfId="263" totalsRowDxfId="262">
      <calculatedColumnFormula>_xlfn.RANK.EQ(TabSLS10[[#This Row],[:37]],TabSLS10[[:1]:[:37]],0)</calculatedColumnFormula>
    </tableColumn>
    <tableColumn id="41" name="SP1" dataDxfId="261" totalsRowDxfId="260">
      <calculatedColumnFormula>IF(TabSLS10[[#This Row],[R1]]&lt;=Sitze_Ausschuss,IF(TabSLS10[[#This Row],[R1]]+COUNTIF(TabSLS10[[R1]:[R37]],TabSLS10[[#This Row],[R1]])-1&lt;=Sitze_Ausschuss,"SITZ","PATT"),"")</calculatedColumnFormula>
    </tableColumn>
    <tableColumn id="42" name="SP3" dataDxfId="259" totalsRowDxfId="258">
      <calculatedColumnFormula>IF(TabSLS10[[#This Row],[R3]]&lt;=Sitze_Ausschuss,IF(TabSLS10[[#This Row],[R3]]+COUNTIF(TabSLS10[[R1]:[R37]],TabSLS10[[#This Row],[R3]])-1&lt;=Sitze_Ausschuss,"SITZ","PATT"),"")</calculatedColumnFormula>
    </tableColumn>
    <tableColumn id="43" name="SP5" dataDxfId="257" totalsRowDxfId="256">
      <calculatedColumnFormula>IF(TabSLS10[[#This Row],[R5]]&lt;=Sitze_Ausschuss,IF(TabSLS10[[#This Row],[R5]]+COUNTIF(TabSLS10[[R1]:[R37]],TabSLS10[[#This Row],[R5]])-1&lt;=Sitze_Ausschuss,"SITZ","PATT"),"")</calculatedColumnFormula>
    </tableColumn>
    <tableColumn id="44" name="SP7" dataDxfId="255" totalsRowDxfId="254">
      <calculatedColumnFormula>IF(TabSLS10[[#This Row],[R7]]&lt;=Sitze_Ausschuss,IF(TabSLS10[[#This Row],[R7]]+COUNTIF(TabSLS10[[R1]:[R37]],TabSLS10[[#This Row],[R7]])-1&lt;=Sitze_Ausschuss,"SITZ","PATT"),"")</calculatedColumnFormula>
    </tableColumn>
    <tableColumn id="45" name="SP9" dataDxfId="253" totalsRowDxfId="252">
      <calculatedColumnFormula>IF(TabSLS10[[#This Row],[R9]]&lt;=Sitze_Ausschuss,IF(TabSLS10[[#This Row],[R9]]+COUNTIF(TabSLS10[[R1]:[R37]],TabSLS10[[#This Row],[R9]])-1&lt;=Sitze_Ausschuss,"SITZ","PATT"),"")</calculatedColumnFormula>
    </tableColumn>
    <tableColumn id="46" name="SP11" dataDxfId="251" totalsRowDxfId="250">
      <calculatedColumnFormula>IF(TabSLS10[[#This Row],[R11]]&lt;=Sitze_Ausschuss,IF(TabSLS10[[#This Row],[R11]]+COUNTIF(TabSLS10[[R1]:[R37]],TabSLS10[[#This Row],[R11]])-1&lt;=Sitze_Ausschuss,"SITZ","PATT"),"")</calculatedColumnFormula>
    </tableColumn>
    <tableColumn id="47" name="SP13" dataDxfId="249" totalsRowDxfId="248">
      <calculatedColumnFormula>IF(TabSLS10[[#This Row],[R13]]&lt;=Sitze_Ausschuss,IF(TabSLS10[[#This Row],[R13]]+COUNTIF(TabSLS10[[R1]:[R37]],TabSLS10[[#This Row],[R13]])-1&lt;=Sitze_Ausschuss,"SITZ","PATT"),"")</calculatedColumnFormula>
    </tableColumn>
    <tableColumn id="48" name="SP15" dataDxfId="247" totalsRowDxfId="246">
      <calculatedColumnFormula>IF(TabSLS10[[#This Row],[R15]]&lt;=Sitze_Ausschuss,IF(TabSLS10[[#This Row],[R15]]+COUNTIF(TabSLS10[[R1]:[R37]],TabSLS10[[#This Row],[R15]])-1&lt;=Sitze_Ausschuss,"SITZ","PATT"),"")</calculatedColumnFormula>
    </tableColumn>
    <tableColumn id="49" name="SP17" dataDxfId="245" totalsRowDxfId="244">
      <calculatedColumnFormula>IF(TabSLS10[[#This Row],[R17]]&lt;=Sitze_Ausschuss,IF(TabSLS10[[#This Row],[R17]]+COUNTIF(TabSLS10[[R1]:[R37]],TabSLS10[[#This Row],[R17]])-1&lt;=Sitze_Ausschuss,"SITZ","PATT"),"")</calculatedColumnFormula>
    </tableColumn>
    <tableColumn id="50" name="SP19" dataDxfId="243" totalsRowDxfId="242">
      <calculatedColumnFormula>IF(TabSLS10[[#This Row],[R19]]&lt;=Sitze_Ausschuss,IF(TabSLS10[[#This Row],[R19]]+COUNTIF(TabSLS10[[R1]:[R37]],TabSLS10[[#This Row],[R19]])-1&lt;=Sitze_Ausschuss,"SITZ","PATT"),"")</calculatedColumnFormula>
    </tableColumn>
    <tableColumn id="51" name="SP21" dataDxfId="241" totalsRowDxfId="240">
      <calculatedColumnFormula>IF(TabSLS10[[#This Row],[R21]]&lt;=Sitze_Ausschuss,IF(TabSLS10[[#This Row],[R21]]+COUNTIF(TabSLS10[[R1]:[R37]],TabSLS10[[#This Row],[R21]])-1&lt;=Sitze_Ausschuss,"SITZ","PATT"),"")</calculatedColumnFormula>
    </tableColumn>
    <tableColumn id="52" name="SP23" dataDxfId="239" totalsRowDxfId="238">
      <calculatedColumnFormula>IF(TabSLS10[[#This Row],[R23]]&lt;=Sitze_Ausschuss,IF(TabSLS10[[#This Row],[R23]]+COUNTIF(TabSLS10[[R1]:[R37]],TabSLS10[[#This Row],[R23]])-1&lt;=Sitze_Ausschuss,"SITZ","PATT"),"")</calculatedColumnFormula>
    </tableColumn>
    <tableColumn id="53" name="SP25" dataDxfId="237" totalsRowDxfId="236">
      <calculatedColumnFormula>IF(TabSLS10[[#This Row],[R25]]&lt;=Sitze_Ausschuss,IF(TabSLS10[[#This Row],[R25]]+COUNTIF(TabSLS10[[R1]:[R37]],TabSLS10[[#This Row],[R25]])-1&lt;=Sitze_Ausschuss,"SITZ","PATT"),"")</calculatedColumnFormula>
    </tableColumn>
    <tableColumn id="54" name="SP27" dataDxfId="235" totalsRowDxfId="234">
      <calculatedColumnFormula>IF(TabSLS10[[#This Row],[R27]]&lt;=Sitze_Ausschuss,IF(TabSLS10[[#This Row],[R27]]+COUNTIF(TabSLS10[[R1]:[R37]],TabSLS10[[#This Row],[R27]])-1&lt;=Sitze_Ausschuss,"SITZ","PATT"),"")</calculatedColumnFormula>
    </tableColumn>
    <tableColumn id="55" name="SP29" dataDxfId="233" totalsRowDxfId="232">
      <calculatedColumnFormula>IF(TabSLS10[[#This Row],[R29]]&lt;=Sitze_Ausschuss,IF(TabSLS10[[#This Row],[R29]]+COUNTIF(TabSLS10[[R1]:[R37]],TabSLS10[[#This Row],[R29]])-1&lt;=Sitze_Ausschuss,"SITZ","PATT"),"")</calculatedColumnFormula>
    </tableColumn>
    <tableColumn id="56" name="SP31" dataDxfId="231" totalsRowDxfId="230">
      <calculatedColumnFormula>IF(TabSLS10[[#This Row],[R31]]&lt;=Sitze_Ausschuss,IF(TabSLS10[[#This Row],[R31]]+COUNTIF(TabSLS10[[R1]:[R37]],TabSLS10[[#This Row],[R31]])-1&lt;=Sitze_Ausschuss,"SITZ","PATT"),"")</calculatedColumnFormula>
    </tableColumn>
    <tableColumn id="57" name="SP33" dataDxfId="229" totalsRowDxfId="228">
      <calculatedColumnFormula>IF(TabSLS10[[#This Row],[R33]]&lt;=Sitze_Ausschuss,IF(TabSLS10[[#This Row],[R33]]+COUNTIF(TabSLS10[[R1]:[R37]],TabSLS10[[#This Row],[R33]])-1&lt;=Sitze_Ausschuss,"SITZ","PATT"),"")</calculatedColumnFormula>
    </tableColumn>
    <tableColumn id="58" name="SP35" dataDxfId="227" totalsRowDxfId="226">
      <calculatedColumnFormula>IF(TabSLS10[[#This Row],[R35]]&lt;=Sitze_Ausschuss,IF(TabSLS10[[#This Row],[R35]]+COUNTIF(TabSLS10[[R1]:[R37]],TabSLS10[[#This Row],[R35]])-1&lt;=Sitze_Ausschuss,"SITZ","PATT"),"")</calculatedColumnFormula>
    </tableColumn>
    <tableColumn id="59" name="SP37" dataDxfId="225" totalsRowDxfId="224">
      <calculatedColumnFormula>IF(TabSLS10[[#This Row],[R37]]&lt;=Sitze_Ausschuss,IF(TabSLS10[[#This Row],[R37]]+COUNTIF(TabSLS10[[R1]:[R37]],TabSLS10[[#This Row],[R37]])-1&lt;=Sitze_Ausschuss,"SITZ","PATT"),"")</calculatedColumnFormula>
    </tableColumn>
    <tableColumn id="60" name="Patt?" totalsRowFunction="custom" dataDxfId="223" totalsRowDxfId="222">
      <calculatedColumnFormula>COUNTIF(TabSLS10[[#This Row],[SP1]:[SP37]],"PATT")&gt;0</calculatedColumnFormula>
      <totalsRowFormula array="1">SUM(TabSLS10[Patt?]*1)</totalsRowFormula>
    </tableColumn>
    <tableColumn id="61" name="Los Chance" totalsRowFunction="custom" dataDxfId="221" totalsRowDxfId="220" dataCellStyle="Prozent">
      <calculatedColumnFormula>IF(TabSLS10[[#This Row],[Patt?]],(Sitze_Ausschuss-SUM(TabSLS10[Sitze]))/TabSLS10[[#Totals],[Patt?]],0)</calculatedColumnFormula>
      <totalsRowFormula>ROUND(SUM(TabSLS10[Los Chance]),0)</totalsRowFormula>
    </tableColumn>
    <tableColumn id="62" name="Stimmen Gelost" dataDxfId="219" totalsRowDxfId="218">
      <calculatedColumnFormula>TabSLS10[[#This Row],[Patt?]]*IF(Pattaufloesung="Stimmen",TabPatt11[[#This Row],[Stimmen]],0)*1</calculatedColumnFormula>
    </tableColumn>
    <tableColumn id="63" name="Pattgewinn" dataDxfId="217" totalsRowDxfId="216">
      <calculatedColumnFormula>_xlfn.RANK.EQ(TabSLS10[[#This Row],[Stimmen Gelost]],TabSLS10[Stimmen Gelost],0)&lt;=(Sitze_Ausschuss-SUM(TabSLS10[Sitze]))</calculatedColumnFormula>
    </tableColumn>
    <tableColumn id="64" name="QK verletzt" totalsRowFunction="count" dataDxfId="215" totalsRowDxfId="214">
      <calculatedColumnFormula>OR(TabSLS10[[#This Row],[Sitze]]&lt;ROUNDDOWN(Grunddaten7[[#This Row],[Proporzgenaue Zahl Ausschuss]],0),TabSLS10[[#This Row],[Sitze]]+(TabSLS10[[#This Row],[Patt?]]*1)&gt;ROUNDUP(Grunddaten7[[#This Row],[Proporzgenaue Zahl Ausschuss]],0))</calculatedColumnFormula>
    </tableColumn>
  </tableColumns>
  <tableStyleInfo name="TableStyleMedium16" showFirstColumn="0" showLastColumn="0" showRowStripes="1" showColumnStripes="0"/>
</table>
</file>

<file path=xl/tables/table9.xml><?xml version="1.0" encoding="utf-8"?>
<table xmlns="http://schemas.openxmlformats.org/spreadsheetml/2006/main" id="10" name="TabPatt11" displayName="TabPatt11" ref="EX6:EY22" totalsRowCount="1" headerRowDxfId="213" dataDxfId="212" totalsRowDxfId="210" tableBorderDxfId="211">
  <autoFilter ref="EX6:EY21">
    <filterColumn colId="0" hiddenButton="1"/>
    <filterColumn colId="1" hiddenButton="1"/>
  </autoFilter>
  <tableColumns count="2">
    <tableColumn id="3" name="Partei Wählergruppe" totalsRowLabel="---" dataDxfId="209" totalsRowDxfId="208" dataCellStyle="Erklärender Text">
      <calculatedColumnFormula>Grunddaten7[[#This Row],[Partei/Wählergruppe]]&amp;""</calculatedColumnFormula>
    </tableColumn>
    <tableColumn id="1" name="Stimmen" totalsRowFunction="sum" dataDxfId="207" totalsRowDxfId="206" dataCellStyle="Erklärender Text">
      <calculatedColumnFormula>IFERROR(VLOOKUP(ROW()-6,Hilf_Parteien,4,FALSE),0)</calculatedColumnFormula>
    </tableColumn>
  </tableColumns>
  <tableStyleInfo name="TableStyleMedium18"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table" Target="../tables/table11.xml"/><Relationship Id="rId1" Type="http://schemas.openxmlformats.org/officeDocument/2006/relationships/printerSettings" Target="../printerSettings/printerSettings5.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1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workbookViewId="0">
      <selection activeCell="B4" sqref="B4"/>
    </sheetView>
  </sheetViews>
  <sheetFormatPr baseColWidth="10" defaultRowHeight="15" x14ac:dyDescent="0.25"/>
  <cols>
    <col min="1" max="1" width="27.28515625" customWidth="1"/>
    <col min="2" max="2" width="77.28515625" customWidth="1"/>
    <col min="4" max="4" width="123.5703125" customWidth="1"/>
  </cols>
  <sheetData>
    <row r="1" spans="1:13" ht="63" customHeight="1" x14ac:dyDescent="0.25">
      <c r="A1" s="1"/>
      <c r="B1" s="1"/>
      <c r="C1" s="1"/>
      <c r="D1" s="1"/>
      <c r="E1" s="1"/>
      <c r="F1" s="1"/>
      <c r="G1" s="1"/>
      <c r="H1" s="1"/>
      <c r="I1" s="1"/>
      <c r="J1" s="1"/>
      <c r="K1" s="1"/>
      <c r="L1" s="1"/>
      <c r="M1" s="1"/>
    </row>
    <row r="2" spans="1:13" ht="265.5" customHeight="1" x14ac:dyDescent="0.25">
      <c r="A2" s="1"/>
      <c r="B2" s="2" t="s">
        <v>158</v>
      </c>
      <c r="C2" s="1"/>
      <c r="D2" s="1"/>
      <c r="E2" s="1"/>
      <c r="F2" s="1"/>
      <c r="G2" s="1"/>
      <c r="H2" s="1"/>
      <c r="I2" s="1"/>
      <c r="J2" s="1"/>
      <c r="K2" s="1"/>
      <c r="L2" s="1"/>
      <c r="M2" s="1"/>
    </row>
    <row r="3" spans="1:13" x14ac:dyDescent="0.25">
      <c r="A3" s="1"/>
      <c r="B3" s="1"/>
      <c r="C3" s="1"/>
      <c r="D3" s="1"/>
      <c r="E3" s="1"/>
      <c r="F3" s="1"/>
      <c r="G3" s="1"/>
      <c r="H3" s="1"/>
      <c r="I3" s="1"/>
      <c r="J3" s="1"/>
      <c r="K3" s="1"/>
      <c r="L3" s="1"/>
      <c r="M3" s="1"/>
    </row>
    <row r="4" spans="1:13" ht="150" customHeight="1" x14ac:dyDescent="0.25">
      <c r="A4" s="1"/>
      <c r="B4" s="1"/>
      <c r="C4" s="1"/>
      <c r="D4" s="1"/>
      <c r="E4" s="1"/>
      <c r="F4" s="1"/>
      <c r="G4" s="1"/>
      <c r="H4" s="1"/>
      <c r="I4" s="1"/>
      <c r="J4" s="1"/>
      <c r="K4" s="1"/>
      <c r="L4" s="1"/>
      <c r="M4" s="1"/>
    </row>
    <row r="5" spans="1:13" x14ac:dyDescent="0.25">
      <c r="A5" s="1"/>
      <c r="B5" s="1"/>
      <c r="C5" s="1"/>
      <c r="D5" s="1"/>
      <c r="E5" s="1"/>
      <c r="F5" s="1"/>
      <c r="G5" s="1"/>
      <c r="H5" s="1"/>
      <c r="I5" s="1"/>
      <c r="J5" s="1"/>
      <c r="K5" s="1"/>
      <c r="L5" s="1"/>
      <c r="M5" s="1"/>
    </row>
    <row r="6" spans="1:13" x14ac:dyDescent="0.25">
      <c r="A6" s="1"/>
      <c r="B6" s="1"/>
      <c r="C6" s="1"/>
      <c r="D6" s="1"/>
      <c r="E6" s="1"/>
      <c r="F6" s="1"/>
      <c r="G6" s="1"/>
      <c r="H6" s="1"/>
      <c r="I6" s="1"/>
      <c r="J6" s="1"/>
      <c r="K6" s="1"/>
      <c r="L6" s="1"/>
      <c r="M6" s="1"/>
    </row>
    <row r="7" spans="1:13" x14ac:dyDescent="0.25">
      <c r="A7" s="1"/>
      <c r="B7" s="1"/>
      <c r="C7" s="1"/>
      <c r="D7" s="1"/>
      <c r="E7" s="1"/>
      <c r="F7" s="1"/>
      <c r="G7" s="1"/>
      <c r="H7" s="1"/>
      <c r="I7" s="1"/>
      <c r="J7" s="1"/>
      <c r="K7" s="1"/>
      <c r="L7" s="1"/>
      <c r="M7" s="1"/>
    </row>
    <row r="8" spans="1:13" x14ac:dyDescent="0.25">
      <c r="A8" s="1"/>
      <c r="B8" s="1"/>
      <c r="C8" s="1"/>
      <c r="D8" s="1"/>
      <c r="E8" s="1"/>
      <c r="F8" s="1"/>
      <c r="G8" s="1"/>
      <c r="H8" s="1"/>
      <c r="I8" s="1"/>
      <c r="J8" s="1"/>
      <c r="K8" s="1"/>
      <c r="L8" s="1"/>
      <c r="M8" s="1"/>
    </row>
    <row r="9" spans="1:13" x14ac:dyDescent="0.25">
      <c r="A9" s="1"/>
      <c r="B9" s="1"/>
      <c r="C9" s="1"/>
      <c r="D9" s="1"/>
      <c r="E9" s="1"/>
      <c r="F9" s="1"/>
      <c r="G9" s="1"/>
      <c r="H9" s="1"/>
      <c r="I9" s="1"/>
      <c r="J9" s="1"/>
      <c r="K9" s="1"/>
      <c r="L9" s="1"/>
      <c r="M9" s="1"/>
    </row>
    <row r="10" spans="1:13" x14ac:dyDescent="0.25">
      <c r="A10" s="1"/>
      <c r="B10" s="1"/>
      <c r="C10" s="1"/>
      <c r="D10" s="1"/>
      <c r="E10" s="1"/>
      <c r="F10" s="1"/>
      <c r="G10" s="1"/>
      <c r="H10" s="1"/>
      <c r="I10" s="1"/>
      <c r="J10" s="1"/>
      <c r="K10" s="1"/>
      <c r="L10" s="1"/>
      <c r="M10" s="1"/>
    </row>
    <row r="11" spans="1:13" x14ac:dyDescent="0.25">
      <c r="A11" s="1"/>
      <c r="B11" s="1"/>
      <c r="C11" s="1"/>
      <c r="D11" s="1"/>
      <c r="E11" s="1"/>
      <c r="F11" s="1"/>
      <c r="G11" s="1"/>
      <c r="H11" s="1"/>
      <c r="I11" s="1"/>
      <c r="J11" s="1"/>
      <c r="K11" s="1"/>
      <c r="L11" s="1"/>
      <c r="M11" s="1"/>
    </row>
    <row r="12" spans="1:13" x14ac:dyDescent="0.25">
      <c r="A12" s="1"/>
      <c r="B12" s="1"/>
      <c r="C12" s="1"/>
      <c r="D12" s="1"/>
      <c r="E12" s="1"/>
      <c r="F12" s="1"/>
      <c r="G12" s="1"/>
      <c r="H12" s="1"/>
      <c r="I12" s="1"/>
      <c r="J12" s="1"/>
      <c r="K12" s="1"/>
      <c r="L12" s="1"/>
      <c r="M12" s="1"/>
    </row>
    <row r="13" spans="1:13" x14ac:dyDescent="0.25">
      <c r="A13" s="1"/>
      <c r="B13" s="1"/>
      <c r="C13" s="1"/>
      <c r="D13" s="1"/>
      <c r="E13" s="1"/>
      <c r="F13" s="1"/>
      <c r="G13" s="1"/>
      <c r="H13" s="1"/>
      <c r="I13" s="1"/>
      <c r="J13" s="1"/>
      <c r="K13" s="1"/>
      <c r="L13" s="1"/>
      <c r="M13" s="1"/>
    </row>
    <row r="14" spans="1:13" x14ac:dyDescent="0.25">
      <c r="A14" s="1"/>
      <c r="B14" s="1"/>
      <c r="C14" s="1"/>
      <c r="D14" s="1"/>
      <c r="E14" s="1"/>
      <c r="F14" s="1"/>
      <c r="G14" s="1"/>
      <c r="H14" s="1"/>
      <c r="I14" s="1"/>
      <c r="J14" s="1"/>
      <c r="K14" s="1"/>
      <c r="L14" s="1"/>
      <c r="M14" s="1"/>
    </row>
    <row r="15" spans="1:13" x14ac:dyDescent="0.25">
      <c r="A15" s="1"/>
      <c r="B15" s="1"/>
      <c r="C15" s="1"/>
      <c r="D15" s="1"/>
      <c r="E15" s="1"/>
      <c r="F15" s="1"/>
      <c r="G15" s="1"/>
      <c r="H15" s="1"/>
      <c r="I15" s="1"/>
      <c r="J15" s="1"/>
      <c r="K15" s="1"/>
      <c r="L15" s="1"/>
      <c r="M15" s="1"/>
    </row>
    <row r="16" spans="1:13" x14ac:dyDescent="0.25">
      <c r="A16" s="1"/>
      <c r="B16" s="1"/>
      <c r="C16" s="1"/>
      <c r="D16" s="1"/>
      <c r="E16" s="1"/>
      <c r="F16" s="1"/>
      <c r="G16" s="1"/>
      <c r="H16" s="1"/>
      <c r="I16" s="1"/>
      <c r="J16" s="1"/>
      <c r="K16" s="1"/>
      <c r="L16" s="1"/>
      <c r="M16" s="1"/>
    </row>
    <row r="17" spans="1:13" x14ac:dyDescent="0.25">
      <c r="A17" s="1"/>
      <c r="B17" s="1"/>
      <c r="C17" s="1"/>
      <c r="D17" s="1"/>
      <c r="E17" s="1"/>
      <c r="F17" s="1"/>
      <c r="G17" s="1"/>
      <c r="H17" s="1"/>
      <c r="I17" s="1"/>
      <c r="J17" s="1"/>
      <c r="K17" s="1"/>
      <c r="L17" s="1"/>
      <c r="M17" s="1"/>
    </row>
    <row r="18" spans="1:13" x14ac:dyDescent="0.25">
      <c r="A18" s="1"/>
      <c r="B18" s="1"/>
      <c r="C18" s="1"/>
      <c r="D18" s="1"/>
      <c r="E18" s="1"/>
      <c r="F18" s="1"/>
      <c r="G18" s="1"/>
      <c r="H18" s="1"/>
      <c r="I18" s="1"/>
      <c r="J18" s="1"/>
      <c r="K18" s="1"/>
      <c r="L18" s="1"/>
      <c r="M18" s="1"/>
    </row>
    <row r="19" spans="1:13" x14ac:dyDescent="0.25">
      <c r="A19" s="1"/>
      <c r="B19" s="1"/>
      <c r="C19" s="1"/>
      <c r="D19" s="1"/>
      <c r="E19" s="1"/>
      <c r="F19" s="1"/>
      <c r="G19" s="1"/>
      <c r="H19" s="1"/>
      <c r="I19" s="1"/>
      <c r="J19" s="1"/>
      <c r="K19" s="1"/>
      <c r="L19" s="1"/>
      <c r="M19" s="1"/>
    </row>
    <row r="20" spans="1:13" x14ac:dyDescent="0.25">
      <c r="A20" s="1"/>
      <c r="B20" s="1"/>
      <c r="C20" s="1"/>
      <c r="D20" s="1"/>
      <c r="E20" s="1"/>
      <c r="F20" s="1"/>
      <c r="G20" s="1"/>
      <c r="H20" s="1"/>
      <c r="I20" s="1"/>
      <c r="J20" s="1"/>
      <c r="K20" s="1"/>
      <c r="L20" s="1"/>
      <c r="M20" s="1"/>
    </row>
    <row r="21" spans="1:13" x14ac:dyDescent="0.25">
      <c r="A21" s="1"/>
      <c r="B21" s="1"/>
      <c r="C21" s="1"/>
      <c r="D21" s="1"/>
      <c r="E21" s="1"/>
      <c r="F21" s="1"/>
      <c r="G21" s="1"/>
      <c r="H21" s="1"/>
      <c r="I21" s="1"/>
      <c r="J21" s="1"/>
      <c r="K21" s="1"/>
      <c r="L21" s="1"/>
      <c r="M21" s="1"/>
    </row>
    <row r="22" spans="1:13" x14ac:dyDescent="0.25">
      <c r="B22" s="1"/>
      <c r="C22" s="1"/>
      <c r="D22" s="1"/>
      <c r="E22" s="1"/>
      <c r="F22" s="1"/>
      <c r="G22" s="1"/>
      <c r="H22" s="1"/>
      <c r="I22" s="1"/>
      <c r="J22" s="1"/>
      <c r="K22" s="1"/>
      <c r="L22" s="1"/>
      <c r="M22" s="1"/>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C16"/>
  <sheetViews>
    <sheetView workbookViewId="0"/>
  </sheetViews>
  <sheetFormatPr baseColWidth="10" defaultRowHeight="15" x14ac:dyDescent="0.25"/>
  <sheetData>
    <row r="4" spans="2:3" x14ac:dyDescent="0.25">
      <c r="B4" t="s">
        <v>1</v>
      </c>
      <c r="C4">
        <v>18</v>
      </c>
    </row>
    <row r="5" spans="2:3" x14ac:dyDescent="0.25">
      <c r="B5" t="s">
        <v>2</v>
      </c>
      <c r="C5">
        <v>10</v>
      </c>
    </row>
    <row r="6" spans="2:3" x14ac:dyDescent="0.25">
      <c r="B6" t="s">
        <v>120</v>
      </c>
      <c r="C6">
        <v>4</v>
      </c>
    </row>
    <row r="7" spans="2:3" x14ac:dyDescent="0.25">
      <c r="B7" t="s">
        <v>3</v>
      </c>
      <c r="C7">
        <v>5</v>
      </c>
    </row>
    <row r="8" spans="2:3" x14ac:dyDescent="0.25">
      <c r="B8" t="s">
        <v>4</v>
      </c>
      <c r="C8">
        <v>5</v>
      </c>
    </row>
    <row r="9" spans="2:3" x14ac:dyDescent="0.25">
      <c r="B9" t="s">
        <v>5</v>
      </c>
      <c r="C9">
        <v>3</v>
      </c>
    </row>
    <row r="10" spans="2:3" x14ac:dyDescent="0.25">
      <c r="B10" t="s">
        <v>121</v>
      </c>
      <c r="C10">
        <v>5</v>
      </c>
    </row>
    <row r="11" spans="2:3" x14ac:dyDescent="0.25">
      <c r="B11" t="s">
        <v>122</v>
      </c>
      <c r="C11">
        <v>2</v>
      </c>
    </row>
    <row r="12" spans="2:3" x14ac:dyDescent="0.25">
      <c r="B12" t="s">
        <v>123</v>
      </c>
      <c r="C12">
        <v>2</v>
      </c>
    </row>
    <row r="13" spans="2:3" x14ac:dyDescent="0.25">
      <c r="B13" t="s">
        <v>124</v>
      </c>
      <c r="C13">
        <v>6</v>
      </c>
    </row>
    <row r="14" spans="2:3" x14ac:dyDescent="0.25">
      <c r="B14" t="s">
        <v>125</v>
      </c>
      <c r="C14">
        <v>0</v>
      </c>
    </row>
    <row r="15" spans="2:3" x14ac:dyDescent="0.25">
      <c r="B15" t="s">
        <v>126</v>
      </c>
      <c r="C15">
        <v>0</v>
      </c>
    </row>
    <row r="16" spans="2:3" x14ac:dyDescent="0.25">
      <c r="B16" t="s">
        <v>127</v>
      </c>
      <c r="C16">
        <v>0</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
  <sheetViews>
    <sheetView tabSelected="1" workbookViewId="0">
      <selection activeCell="M20" sqref="M20"/>
    </sheetView>
  </sheetViews>
  <sheetFormatPr baseColWidth="10" defaultRowHeight="15" x14ac:dyDescent="0.25"/>
  <cols>
    <col min="1" max="16384" width="11.42578125" style="1"/>
  </cols>
  <sheetData>
    <row r="2" spans="2:12" ht="59.25" customHeight="1" x14ac:dyDescent="0.25">
      <c r="B2" s="179" t="s">
        <v>256</v>
      </c>
      <c r="C2" s="179"/>
      <c r="D2" s="179"/>
      <c r="E2" s="179"/>
      <c r="F2" s="179"/>
      <c r="G2" s="179"/>
      <c r="H2" s="179"/>
      <c r="I2" s="179"/>
      <c r="J2" s="179"/>
      <c r="K2" s="179"/>
      <c r="L2" s="179"/>
    </row>
    <row r="3" spans="2:12" x14ac:dyDescent="0.25">
      <c r="B3" s="178" t="str">
        <f>HYPERLINK("http://www.verwaltungsinformatiker.de", "Besuchen Sie uns auf verwaltungsinformatiker.de")</f>
        <v>Besuchen Sie uns auf verwaltungsinformatiker.de</v>
      </c>
      <c r="C3" s="178"/>
      <c r="D3" s="178"/>
      <c r="E3" s="178"/>
      <c r="F3" s="178"/>
      <c r="G3" s="178"/>
      <c r="H3" s="178"/>
      <c r="I3" s="178"/>
      <c r="J3" s="178"/>
      <c r="K3" s="178"/>
      <c r="L3" s="178"/>
    </row>
    <row r="4" spans="2:12" x14ac:dyDescent="0.25">
      <c r="B4" s="180" t="s">
        <v>159</v>
      </c>
      <c r="C4" s="180"/>
      <c r="D4" s="180"/>
      <c r="E4" s="180"/>
      <c r="F4" s="180"/>
      <c r="G4" s="180"/>
      <c r="H4" s="180"/>
      <c r="I4" s="180"/>
      <c r="J4" s="180"/>
      <c r="K4" s="180"/>
      <c r="L4" s="180"/>
    </row>
  </sheetData>
  <sheetProtection algorithmName="SHA-512" hashValue="Vhq+MnA8XdR7rMnsWMbV7vDyekAoFZaGjDtON8MuJjmnRoa82Ke9Mzgv3YMQB1ijplUtGSy+h2PTrRhvyW54Tg==" saltValue="bKLtS6uJjhsLx2zg3N+jWQ==" spinCount="100000" sheet="1" objects="1" scenarios="1"/>
  <mergeCells count="3">
    <mergeCell ref="B3:L3"/>
    <mergeCell ref="B2:L2"/>
    <mergeCell ref="B4:L4"/>
  </mergeCells>
  <pageMargins left="0.7" right="0.7" top="0.78740157499999996" bottom="0.78740157499999996" header="0.3" footer="0.3"/>
  <pageSetup paperSize="9"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B5"/>
  <sheetViews>
    <sheetView workbookViewId="0">
      <selection activeCell="J21" sqref="J21"/>
    </sheetView>
  </sheetViews>
  <sheetFormatPr baseColWidth="10" defaultRowHeight="15" x14ac:dyDescent="0.25"/>
  <cols>
    <col min="1" max="16384" width="11.42578125" style="1"/>
  </cols>
  <sheetData>
    <row r="3" spans="2:2" x14ac:dyDescent="0.25">
      <c r="B3" s="73" t="s">
        <v>156</v>
      </c>
    </row>
    <row r="5" spans="2:2" x14ac:dyDescent="0.25">
      <c r="B5" s="74" t="s">
        <v>157</v>
      </c>
    </row>
  </sheetData>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bat Document" shapeId="4100" r:id="rId4">
          <objectPr defaultSize="0" autoPict="0" r:id="rId5">
            <anchor moveWithCells="1">
              <from>
                <xdr:col>0</xdr:col>
                <xdr:colOff>533400</xdr:colOff>
                <xdr:row>5</xdr:row>
                <xdr:rowOff>171450</xdr:rowOff>
              </from>
              <to>
                <xdr:col>5</xdr:col>
                <xdr:colOff>685800</xdr:colOff>
                <xdr:row>35</xdr:row>
                <xdr:rowOff>66675</xdr:rowOff>
              </to>
            </anchor>
          </objectPr>
        </oleObject>
      </mc:Choice>
      <mc:Fallback>
        <oleObject progId="Acrobat Document" shapeId="4100"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Right="0"/>
  </sheetPr>
  <dimension ref="A1:FT92"/>
  <sheetViews>
    <sheetView zoomScale="115" zoomScaleNormal="115" workbookViewId="0">
      <selection activeCell="H27" sqref="H27"/>
    </sheetView>
  </sheetViews>
  <sheetFormatPr baseColWidth="10" defaultRowHeight="15" outlineLevelCol="2" x14ac:dyDescent="0.25"/>
  <cols>
    <col min="1" max="1" width="4.85546875" style="4" customWidth="1"/>
    <col min="2" max="2" width="23.28515625" style="4" customWidth="1"/>
    <col min="3" max="3" width="11.28515625" style="4" bestFit="1" customWidth="1"/>
    <col min="4" max="4" width="4.7109375" style="4" bestFit="1" customWidth="1"/>
    <col min="5" max="5" width="14.42578125" style="4" customWidth="1"/>
    <col min="6" max="6" width="10.5703125" style="4" bestFit="1" customWidth="1"/>
    <col min="7" max="7" width="10.7109375" style="4" customWidth="1"/>
    <col min="8" max="10" width="5.42578125" style="4" customWidth="1"/>
    <col min="11" max="11" width="4.7109375" style="4" customWidth="1"/>
    <col min="12" max="12" width="9.42578125" style="4" customWidth="1"/>
    <col min="13" max="13" width="9.7109375" style="4" customWidth="1" collapsed="1"/>
    <col min="14" max="15" width="6.5703125" style="4" hidden="1" customWidth="1" outlineLevel="1"/>
    <col min="16" max="16" width="5.140625" style="4" hidden="1" customWidth="1" outlineLevel="1"/>
    <col min="17" max="17" width="7.85546875" style="4" hidden="1" customWidth="1" outlineLevel="1"/>
    <col min="18" max="18" width="7.7109375" style="4" hidden="1" customWidth="1" outlineLevel="1"/>
    <col min="19" max="19" width="7.42578125" style="4" hidden="1" customWidth="1" outlineLevel="1"/>
    <col min="20" max="20" width="9.85546875" style="4" hidden="1" customWidth="1" outlineLevel="1"/>
    <col min="21" max="21" width="11.140625" style="4" hidden="1" customWidth="1" outlineLevel="1"/>
    <col min="22" max="22" width="4" style="4" customWidth="1"/>
    <col min="23" max="23" width="9.42578125" style="4" customWidth="1"/>
    <col min="24" max="24" width="9.85546875" style="4" customWidth="1" collapsed="1"/>
    <col min="25" max="25" width="11.140625" style="4" hidden="1" customWidth="1" outlineLevel="1" collapsed="1"/>
    <col min="26" max="26" width="6.140625" style="4" hidden="1" customWidth="1" outlineLevel="2"/>
    <col min="27" max="27" width="5" style="4" hidden="1" customWidth="1" outlineLevel="2"/>
    <col min="28" max="28" width="5" style="4" hidden="1" customWidth="1" outlineLevel="2" collapsed="1"/>
    <col min="29" max="43" width="5" style="4" hidden="1" customWidth="1" outlineLevel="2"/>
    <col min="44" max="44" width="11.85546875" style="4" hidden="1" customWidth="1" outlineLevel="1" collapsed="1"/>
    <col min="45" max="46" width="5.42578125" style="4" hidden="1" customWidth="1" outlineLevel="2"/>
    <col min="47" max="47" width="5.42578125" style="4" hidden="1" customWidth="1" outlineLevel="2" collapsed="1"/>
    <col min="48" max="62" width="5.42578125" style="4" hidden="1" customWidth="1" outlineLevel="2"/>
    <col min="63" max="63" width="9.42578125" style="4" hidden="1" customWidth="1" outlineLevel="1" collapsed="1"/>
    <col min="64" max="81" width="6" style="4" hidden="1" customWidth="1" outlineLevel="2"/>
    <col min="82" max="82" width="13.140625" style="4" hidden="1" customWidth="1" outlineLevel="1"/>
    <col min="83" max="83" width="7.28515625" style="4" hidden="1" customWidth="1" outlineLevel="2"/>
    <col min="84" max="84" width="8.85546875" style="4" hidden="1" customWidth="1" outlineLevel="2"/>
    <col min="85" max="85" width="11.140625" style="4" hidden="1" customWidth="1" outlineLevel="2"/>
    <col min="86" max="86" width="9.7109375" style="4" hidden="1" customWidth="1" outlineLevel="1"/>
    <col min="87" max="87" width="4.5703125" style="4" customWidth="1"/>
    <col min="88" max="88" width="7.5703125" style="4" customWidth="1"/>
    <col min="89" max="89" width="12.28515625" style="4" customWidth="1" collapsed="1"/>
    <col min="90" max="90" width="13" style="4" hidden="1" customWidth="1" outlineLevel="1" collapsed="1"/>
    <col min="91" max="91" width="7.85546875" style="4" hidden="1" customWidth="1" outlineLevel="2"/>
    <col min="92" max="92" width="8.140625" style="4" hidden="1" customWidth="1" outlineLevel="2"/>
    <col min="93" max="93" width="6.5703125" style="4" hidden="1" customWidth="1" outlineLevel="2"/>
    <col min="94" max="103" width="5.5703125" style="4" hidden="1" customWidth="1" outlineLevel="2"/>
    <col min="104" max="104" width="6.140625" style="4" hidden="1" customWidth="1" outlineLevel="2"/>
    <col min="105" max="108" width="5.5703125" style="4" hidden="1" customWidth="1" outlineLevel="2"/>
    <col min="109" max="109" width="12.5703125" style="4" hidden="1" customWidth="1" outlineLevel="1" collapsed="1"/>
    <col min="110" max="110" width="4.5703125" style="4" hidden="1" customWidth="1" outlineLevel="2"/>
    <col min="111" max="127" width="5" style="4" hidden="1" customWidth="1" outlineLevel="2"/>
    <col min="128" max="128" width="6" style="4" hidden="1" customWidth="1" outlineLevel="1" collapsed="1"/>
    <col min="129" max="146" width="6" style="4" hidden="1" customWidth="1" outlineLevel="2"/>
    <col min="147" max="147" width="7.7109375" style="4" hidden="1" customWidth="1" outlineLevel="1"/>
    <col min="148" max="148" width="7.42578125" style="4" hidden="1" customWidth="1" outlineLevel="2"/>
    <col min="149" max="149" width="8.85546875" style="4" hidden="1" customWidth="1" outlineLevel="2"/>
    <col min="150" max="150" width="7.5703125" style="4" hidden="1" customWidth="1" outlineLevel="2"/>
    <col min="151" max="151" width="8" style="4" hidden="1" customWidth="1" outlineLevel="1"/>
    <col min="152" max="152" width="3.85546875" style="4" customWidth="1"/>
    <col min="153" max="153" width="17.85546875" style="4" customWidth="1"/>
    <col min="154" max="154" width="10" style="4" customWidth="1"/>
    <col min="155" max="155" width="6.28515625" style="4" customWidth="1"/>
    <col min="156" max="157" width="11.42578125" hidden="1" customWidth="1"/>
    <col min="158" max="158" width="19.42578125" hidden="1" customWidth="1"/>
    <col min="159" max="159" width="5.5703125" hidden="1" customWidth="1"/>
    <col min="160" max="160" width="9" hidden="1" customWidth="1"/>
    <col min="161" max="161" width="7.5703125" hidden="1" customWidth="1"/>
    <col min="162" max="162" width="8.7109375" hidden="1" customWidth="1"/>
    <col min="163" max="163" width="7.5703125" hidden="1" customWidth="1"/>
    <col min="164" max="164" width="4.7109375" hidden="1" customWidth="1"/>
    <col min="165" max="165" width="11.5703125" hidden="1" customWidth="1"/>
    <col min="166" max="166" width="8.28515625" hidden="1" customWidth="1"/>
    <col min="167" max="167" width="10.42578125" hidden="1" customWidth="1"/>
    <col min="168" max="168" width="9.28515625" hidden="1" customWidth="1"/>
    <col min="169" max="169" width="9" hidden="1" customWidth="1"/>
    <col min="170" max="170" width="9.7109375" hidden="1" customWidth="1"/>
    <col min="171" max="172" width="4.7109375" hidden="1" customWidth="1"/>
    <col min="173" max="173" width="16" style="1" bestFit="1" customWidth="1"/>
    <col min="174" max="174" width="11.42578125" style="1"/>
    <col min="175" max="176" width="11.42578125" style="3"/>
    <col min="177" max="16384" width="11.42578125" style="4"/>
  </cols>
  <sheetData>
    <row r="1" spans="1:176" ht="15" customHeight="1" x14ac:dyDescent="0.25">
      <c r="A1" s="3"/>
      <c r="B1" s="145" t="s">
        <v>6</v>
      </c>
      <c r="C1" s="137">
        <v>70</v>
      </c>
      <c r="D1" s="174" t="s">
        <v>250</v>
      </c>
      <c r="E1" s="94" t="s">
        <v>154</v>
      </c>
      <c r="F1" s="77"/>
      <c r="G1" s="77"/>
      <c r="H1" s="77"/>
      <c r="I1" s="77"/>
      <c r="J1" s="77"/>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row>
    <row r="2" spans="1:176" x14ac:dyDescent="0.25">
      <c r="A2" s="3"/>
      <c r="B2" s="146" t="s">
        <v>7</v>
      </c>
      <c r="C2" s="138">
        <v>14</v>
      </c>
      <c r="D2" s="174" t="s">
        <v>250</v>
      </c>
      <c r="E2" s="95" t="s">
        <v>246</v>
      </c>
      <c r="F2" s="77"/>
      <c r="G2" s="77"/>
      <c r="H2" s="77"/>
      <c r="I2" s="77"/>
      <c r="J2" s="77"/>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5"/>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row>
    <row r="3" spans="1:176" ht="15.75" thickBot="1" x14ac:dyDescent="0.3">
      <c r="A3" s="3"/>
      <c r="B3" s="147" t="s">
        <v>54</v>
      </c>
      <c r="C3" s="139" t="s">
        <v>56</v>
      </c>
      <c r="D3" s="174" t="s">
        <v>250</v>
      </c>
      <c r="E3" s="95" t="s">
        <v>247</v>
      </c>
      <c r="F3" s="77"/>
      <c r="G3" s="77"/>
      <c r="H3" s="77"/>
      <c r="I3" s="77"/>
      <c r="J3" s="77"/>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5"/>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row>
    <row r="4" spans="1:176" ht="15.75" thickBot="1"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row>
    <row r="5" spans="1:176" ht="30.75" customHeight="1" thickBot="1" x14ac:dyDescent="0.3">
      <c r="A5" s="3"/>
      <c r="B5" s="193" t="s">
        <v>172</v>
      </c>
      <c r="C5" s="198"/>
      <c r="D5" s="194"/>
      <c r="E5" s="193" t="s">
        <v>240</v>
      </c>
      <c r="F5" s="194"/>
      <c r="G5" s="193" t="s">
        <v>153</v>
      </c>
      <c r="H5" s="198"/>
      <c r="I5" s="198"/>
      <c r="J5" s="194"/>
      <c r="K5" s="3"/>
      <c r="L5" s="184" t="s">
        <v>51</v>
      </c>
      <c r="M5" s="185"/>
      <c r="N5" s="3"/>
      <c r="O5" s="3"/>
      <c r="P5" s="3"/>
      <c r="Q5" s="3"/>
      <c r="R5" s="3"/>
      <c r="S5" s="3"/>
      <c r="T5" s="3"/>
      <c r="U5" s="3"/>
      <c r="V5" s="3"/>
      <c r="W5" s="186" t="s">
        <v>239</v>
      </c>
      <c r="X5" s="187"/>
      <c r="Y5" s="190" t="s">
        <v>49</v>
      </c>
      <c r="Z5" s="191"/>
      <c r="AA5" s="191"/>
      <c r="AB5" s="191"/>
      <c r="AC5" s="191"/>
      <c r="AD5" s="191"/>
      <c r="AE5" s="191"/>
      <c r="AF5" s="191"/>
      <c r="AG5" s="191"/>
      <c r="AH5" s="191"/>
      <c r="AI5" s="191"/>
      <c r="AJ5" s="191"/>
      <c r="AK5" s="191"/>
      <c r="AL5" s="191"/>
      <c r="AM5" s="191"/>
      <c r="AN5" s="191"/>
      <c r="AO5" s="191"/>
      <c r="AP5" s="191"/>
      <c r="AQ5" s="192"/>
      <c r="AR5" s="190" t="s">
        <v>50</v>
      </c>
      <c r="AS5" s="191"/>
      <c r="AT5" s="191"/>
      <c r="AU5" s="191"/>
      <c r="AV5" s="191"/>
      <c r="AW5" s="191"/>
      <c r="AX5" s="191"/>
      <c r="AY5" s="191"/>
      <c r="AZ5" s="191"/>
      <c r="BA5" s="191"/>
      <c r="BB5" s="191"/>
      <c r="BC5" s="191"/>
      <c r="BD5" s="191"/>
      <c r="BE5" s="191"/>
      <c r="BF5" s="191"/>
      <c r="BG5" s="191"/>
      <c r="BH5" s="191"/>
      <c r="BI5" s="191"/>
      <c r="BJ5" s="192"/>
      <c r="BK5" s="190" t="s">
        <v>10</v>
      </c>
      <c r="BL5" s="191"/>
      <c r="BM5" s="191"/>
      <c r="BN5" s="191"/>
      <c r="BO5" s="191"/>
      <c r="BP5" s="191"/>
      <c r="BQ5" s="191"/>
      <c r="BR5" s="191"/>
      <c r="BS5" s="191"/>
      <c r="BT5" s="191"/>
      <c r="BU5" s="191"/>
      <c r="BV5" s="191"/>
      <c r="BW5" s="191"/>
      <c r="BX5" s="191"/>
      <c r="BY5" s="191"/>
      <c r="BZ5" s="191"/>
      <c r="CA5" s="191"/>
      <c r="CB5" s="191"/>
      <c r="CC5" s="192"/>
      <c r="CD5" s="190" t="s">
        <v>9</v>
      </c>
      <c r="CE5" s="191"/>
      <c r="CF5" s="191"/>
      <c r="CG5" s="192"/>
      <c r="CH5" s="6" t="s">
        <v>115</v>
      </c>
      <c r="CI5" s="3"/>
      <c r="CJ5" s="188" t="s">
        <v>52</v>
      </c>
      <c r="CK5" s="189"/>
      <c r="CL5" s="195" t="s">
        <v>49</v>
      </c>
      <c r="CM5" s="196"/>
      <c r="CN5" s="196"/>
      <c r="CO5" s="196"/>
      <c r="CP5" s="196"/>
      <c r="CQ5" s="196"/>
      <c r="CR5" s="196"/>
      <c r="CS5" s="196"/>
      <c r="CT5" s="196"/>
      <c r="CU5" s="196"/>
      <c r="CV5" s="196"/>
      <c r="CW5" s="196"/>
      <c r="CX5" s="196"/>
      <c r="CY5" s="196"/>
      <c r="CZ5" s="196"/>
      <c r="DA5" s="196"/>
      <c r="DB5" s="196"/>
      <c r="DC5" s="196"/>
      <c r="DD5" s="197"/>
      <c r="DE5" s="195" t="s">
        <v>50</v>
      </c>
      <c r="DF5" s="196"/>
      <c r="DG5" s="196"/>
      <c r="DH5" s="196"/>
      <c r="DI5" s="196"/>
      <c r="DJ5" s="196"/>
      <c r="DK5" s="196"/>
      <c r="DL5" s="196"/>
      <c r="DM5" s="196"/>
      <c r="DN5" s="196"/>
      <c r="DO5" s="196"/>
      <c r="DP5" s="196"/>
      <c r="DQ5" s="196"/>
      <c r="DR5" s="196"/>
      <c r="DS5" s="196"/>
      <c r="DT5" s="196"/>
      <c r="DU5" s="196"/>
      <c r="DV5" s="196"/>
      <c r="DW5" s="197"/>
      <c r="DX5" s="195" t="s">
        <v>10</v>
      </c>
      <c r="DY5" s="196"/>
      <c r="DZ5" s="196"/>
      <c r="EA5" s="196"/>
      <c r="EB5" s="196"/>
      <c r="EC5" s="196"/>
      <c r="ED5" s="196"/>
      <c r="EE5" s="196"/>
      <c r="EF5" s="196"/>
      <c r="EG5" s="196"/>
      <c r="EH5" s="196"/>
      <c r="EI5" s="196"/>
      <c r="EJ5" s="196"/>
      <c r="EK5" s="196"/>
      <c r="EL5" s="196"/>
      <c r="EM5" s="196"/>
      <c r="EN5" s="196"/>
      <c r="EO5" s="196"/>
      <c r="EP5" s="196"/>
      <c r="EQ5" s="195" t="s">
        <v>9</v>
      </c>
      <c r="ER5" s="196"/>
      <c r="ES5" s="196"/>
      <c r="ET5" s="197"/>
      <c r="EU5" s="7"/>
      <c r="EV5" s="3"/>
      <c r="EW5" s="193" t="s">
        <v>54</v>
      </c>
      <c r="EX5" s="194"/>
      <c r="EY5" s="3"/>
    </row>
    <row r="6" spans="1:176" s="28" customFormat="1" ht="32.25" customHeight="1" x14ac:dyDescent="0.25">
      <c r="A6" s="8"/>
      <c r="B6" s="9" t="s">
        <v>0</v>
      </c>
      <c r="C6" s="9" t="s">
        <v>58</v>
      </c>
      <c r="D6" s="9" t="s">
        <v>174</v>
      </c>
      <c r="E6" s="164" t="s">
        <v>57</v>
      </c>
      <c r="F6" s="165" t="s">
        <v>173</v>
      </c>
      <c r="G6" s="155" t="s">
        <v>53</v>
      </c>
      <c r="H6" s="156" t="s">
        <v>116</v>
      </c>
      <c r="I6" s="157" t="s">
        <v>117</v>
      </c>
      <c r="J6" s="158" t="s">
        <v>118</v>
      </c>
      <c r="K6" s="8"/>
      <c r="L6" s="10" t="s">
        <v>10</v>
      </c>
      <c r="M6" s="11" t="s">
        <v>83</v>
      </c>
      <c r="N6" s="12" t="s">
        <v>77</v>
      </c>
      <c r="O6" s="12" t="s">
        <v>78</v>
      </c>
      <c r="P6" s="12" t="s">
        <v>79</v>
      </c>
      <c r="Q6" s="12" t="s">
        <v>8</v>
      </c>
      <c r="R6" s="12" t="s">
        <v>9</v>
      </c>
      <c r="S6" s="12" t="s">
        <v>80</v>
      </c>
      <c r="T6" s="12" t="s">
        <v>81</v>
      </c>
      <c r="U6" s="13" t="s">
        <v>82</v>
      </c>
      <c r="V6" s="8"/>
      <c r="W6" s="14" t="s">
        <v>10</v>
      </c>
      <c r="X6" s="15" t="s">
        <v>83</v>
      </c>
      <c r="Y6" s="14" t="s">
        <v>84</v>
      </c>
      <c r="Z6" s="16" t="s">
        <v>59</v>
      </c>
      <c r="AA6" s="16" t="s">
        <v>60</v>
      </c>
      <c r="AB6" s="16" t="s">
        <v>61</v>
      </c>
      <c r="AC6" s="16" t="s">
        <v>62</v>
      </c>
      <c r="AD6" s="16" t="s">
        <v>63</v>
      </c>
      <c r="AE6" s="16" t="s">
        <v>64</v>
      </c>
      <c r="AF6" s="16" t="s">
        <v>65</v>
      </c>
      <c r="AG6" s="16" t="s">
        <v>66</v>
      </c>
      <c r="AH6" s="16" t="s">
        <v>67</v>
      </c>
      <c r="AI6" s="16" t="s">
        <v>68</v>
      </c>
      <c r="AJ6" s="16" t="s">
        <v>69</v>
      </c>
      <c r="AK6" s="16" t="s">
        <v>70</v>
      </c>
      <c r="AL6" s="16" t="s">
        <v>71</v>
      </c>
      <c r="AM6" s="16" t="s">
        <v>72</v>
      </c>
      <c r="AN6" s="16" t="s">
        <v>73</v>
      </c>
      <c r="AO6" s="16" t="s">
        <v>74</v>
      </c>
      <c r="AP6" s="16" t="s">
        <v>75</v>
      </c>
      <c r="AQ6" s="17" t="s">
        <v>76</v>
      </c>
      <c r="AR6" s="18" t="s">
        <v>11</v>
      </c>
      <c r="AS6" s="19" t="s">
        <v>12</v>
      </c>
      <c r="AT6" s="19" t="s">
        <v>13</v>
      </c>
      <c r="AU6" s="19" t="s">
        <v>14</v>
      </c>
      <c r="AV6" s="19" t="s">
        <v>15</v>
      </c>
      <c r="AW6" s="19" t="s">
        <v>16</v>
      </c>
      <c r="AX6" s="19" t="s">
        <v>17</v>
      </c>
      <c r="AY6" s="19" t="s">
        <v>18</v>
      </c>
      <c r="AZ6" s="19" t="s">
        <v>19</v>
      </c>
      <c r="BA6" s="19" t="s">
        <v>20</v>
      </c>
      <c r="BB6" s="19" t="s">
        <v>21</v>
      </c>
      <c r="BC6" s="19" t="s">
        <v>22</v>
      </c>
      <c r="BD6" s="19" t="s">
        <v>23</v>
      </c>
      <c r="BE6" s="19" t="s">
        <v>24</v>
      </c>
      <c r="BF6" s="19" t="s">
        <v>25</v>
      </c>
      <c r="BG6" s="19" t="s">
        <v>26</v>
      </c>
      <c r="BH6" s="19" t="s">
        <v>27</v>
      </c>
      <c r="BI6" s="19" t="s">
        <v>28</v>
      </c>
      <c r="BJ6" s="20" t="s">
        <v>29</v>
      </c>
      <c r="BK6" s="18" t="s">
        <v>30</v>
      </c>
      <c r="BL6" s="19" t="s">
        <v>31</v>
      </c>
      <c r="BM6" s="19" t="s">
        <v>32</v>
      </c>
      <c r="BN6" s="19" t="s">
        <v>33</v>
      </c>
      <c r="BO6" s="19" t="s">
        <v>34</v>
      </c>
      <c r="BP6" s="19" t="s">
        <v>35</v>
      </c>
      <c r="BQ6" s="19" t="s">
        <v>36</v>
      </c>
      <c r="BR6" s="19" t="s">
        <v>37</v>
      </c>
      <c r="BS6" s="19" t="s">
        <v>38</v>
      </c>
      <c r="BT6" s="19" t="s">
        <v>39</v>
      </c>
      <c r="BU6" s="19" t="s">
        <v>40</v>
      </c>
      <c r="BV6" s="19" t="s">
        <v>41</v>
      </c>
      <c r="BW6" s="19" t="s">
        <v>42</v>
      </c>
      <c r="BX6" s="19" t="s">
        <v>43</v>
      </c>
      <c r="BY6" s="19" t="s">
        <v>44</v>
      </c>
      <c r="BZ6" s="19" t="s">
        <v>45</v>
      </c>
      <c r="CA6" s="19" t="s">
        <v>46</v>
      </c>
      <c r="CB6" s="19" t="s">
        <v>47</v>
      </c>
      <c r="CC6" s="20" t="s">
        <v>48</v>
      </c>
      <c r="CD6" s="21" t="s">
        <v>113</v>
      </c>
      <c r="CE6" s="19" t="s">
        <v>80</v>
      </c>
      <c r="CF6" s="19" t="s">
        <v>114</v>
      </c>
      <c r="CG6" s="11" t="s">
        <v>82</v>
      </c>
      <c r="CH6" s="22" t="s">
        <v>85</v>
      </c>
      <c r="CI6" s="8"/>
      <c r="CJ6" s="14" t="s">
        <v>10</v>
      </c>
      <c r="CK6" s="23" t="s">
        <v>83</v>
      </c>
      <c r="CL6" s="14" t="s">
        <v>84</v>
      </c>
      <c r="CM6" s="16" t="s">
        <v>86</v>
      </c>
      <c r="CN6" s="16" t="s">
        <v>59</v>
      </c>
      <c r="CO6" s="16" t="s">
        <v>87</v>
      </c>
      <c r="CP6" s="16" t="s">
        <v>60</v>
      </c>
      <c r="CQ6" s="16" t="s">
        <v>88</v>
      </c>
      <c r="CR6" s="16" t="s">
        <v>61</v>
      </c>
      <c r="CS6" s="16" t="s">
        <v>89</v>
      </c>
      <c r="CT6" s="16" t="s">
        <v>62</v>
      </c>
      <c r="CU6" s="16" t="s">
        <v>90</v>
      </c>
      <c r="CV6" s="16" t="s">
        <v>63</v>
      </c>
      <c r="CW6" s="16" t="s">
        <v>91</v>
      </c>
      <c r="CX6" s="16" t="s">
        <v>64</v>
      </c>
      <c r="CY6" s="16" t="s">
        <v>92</v>
      </c>
      <c r="CZ6" s="16" t="s">
        <v>65</v>
      </c>
      <c r="DA6" s="16" t="s">
        <v>93</v>
      </c>
      <c r="DB6" s="16" t="s">
        <v>66</v>
      </c>
      <c r="DC6" s="16" t="s">
        <v>94</v>
      </c>
      <c r="DD6" s="24" t="s">
        <v>67</v>
      </c>
      <c r="DE6" s="18" t="s">
        <v>11</v>
      </c>
      <c r="DF6" s="19" t="s">
        <v>95</v>
      </c>
      <c r="DG6" s="19" t="s">
        <v>12</v>
      </c>
      <c r="DH6" s="19" t="s">
        <v>96</v>
      </c>
      <c r="DI6" s="19" t="s">
        <v>13</v>
      </c>
      <c r="DJ6" s="19" t="s">
        <v>97</v>
      </c>
      <c r="DK6" s="19" t="s">
        <v>14</v>
      </c>
      <c r="DL6" s="19" t="s">
        <v>98</v>
      </c>
      <c r="DM6" s="19" t="s">
        <v>15</v>
      </c>
      <c r="DN6" s="19" t="s">
        <v>99</v>
      </c>
      <c r="DO6" s="19" t="s">
        <v>16</v>
      </c>
      <c r="DP6" s="19" t="s">
        <v>100</v>
      </c>
      <c r="DQ6" s="19" t="s">
        <v>17</v>
      </c>
      <c r="DR6" s="19" t="s">
        <v>101</v>
      </c>
      <c r="DS6" s="19" t="s">
        <v>18</v>
      </c>
      <c r="DT6" s="19" t="s">
        <v>102</v>
      </c>
      <c r="DU6" s="19" t="s">
        <v>19</v>
      </c>
      <c r="DV6" s="19" t="s">
        <v>103</v>
      </c>
      <c r="DW6" s="20" t="s">
        <v>20</v>
      </c>
      <c r="DX6" s="10" t="s">
        <v>30</v>
      </c>
      <c r="DY6" s="25" t="s">
        <v>104</v>
      </c>
      <c r="DZ6" s="25" t="s">
        <v>31</v>
      </c>
      <c r="EA6" s="25" t="s">
        <v>105</v>
      </c>
      <c r="EB6" s="25" t="s">
        <v>32</v>
      </c>
      <c r="EC6" s="25" t="s">
        <v>106</v>
      </c>
      <c r="ED6" s="25" t="s">
        <v>33</v>
      </c>
      <c r="EE6" s="25" t="s">
        <v>107</v>
      </c>
      <c r="EF6" s="25" t="s">
        <v>34</v>
      </c>
      <c r="EG6" s="25" t="s">
        <v>108</v>
      </c>
      <c r="EH6" s="25" t="s">
        <v>35</v>
      </c>
      <c r="EI6" s="25" t="s">
        <v>109</v>
      </c>
      <c r="EJ6" s="25" t="s">
        <v>36</v>
      </c>
      <c r="EK6" s="25" t="s">
        <v>110</v>
      </c>
      <c r="EL6" s="25" t="s">
        <v>37</v>
      </c>
      <c r="EM6" s="25" t="s">
        <v>111</v>
      </c>
      <c r="EN6" s="25" t="s">
        <v>38</v>
      </c>
      <c r="EO6" s="25" t="s">
        <v>112</v>
      </c>
      <c r="EP6" s="25" t="s">
        <v>39</v>
      </c>
      <c r="EQ6" s="10" t="s">
        <v>9</v>
      </c>
      <c r="ER6" s="25" t="s">
        <v>80</v>
      </c>
      <c r="ES6" s="25" t="s">
        <v>81</v>
      </c>
      <c r="ET6" s="11" t="s">
        <v>82</v>
      </c>
      <c r="EU6" s="22" t="s">
        <v>85</v>
      </c>
      <c r="EV6" s="8"/>
      <c r="EW6" s="26" t="s">
        <v>119</v>
      </c>
      <c r="EX6" s="27" t="s">
        <v>55</v>
      </c>
      <c r="EY6" s="3"/>
      <c r="EZ6" t="s">
        <v>181</v>
      </c>
      <c r="FA6" t="s">
        <v>180</v>
      </c>
      <c r="FB6" t="s">
        <v>179</v>
      </c>
      <c r="FC6" t="s">
        <v>10</v>
      </c>
      <c r="FD6" t="s">
        <v>55</v>
      </c>
      <c r="FE6" t="s">
        <v>176</v>
      </c>
      <c r="FF6" t="s">
        <v>175</v>
      </c>
      <c r="FG6" t="s">
        <v>177</v>
      </c>
      <c r="FH6" t="s">
        <v>178</v>
      </c>
      <c r="FI6" t="s">
        <v>116</v>
      </c>
      <c r="FJ6" t="s">
        <v>117</v>
      </c>
      <c r="FK6" t="s">
        <v>118</v>
      </c>
      <c r="FL6" t="s">
        <v>236</v>
      </c>
      <c r="FM6" t="s">
        <v>237</v>
      </c>
      <c r="FN6" t="s">
        <v>238</v>
      </c>
      <c r="FO6"/>
      <c r="FP6"/>
      <c r="FQ6" s="8"/>
      <c r="FR6" s="8"/>
      <c r="FS6" s="8"/>
      <c r="FT6" s="8"/>
    </row>
    <row r="7" spans="1:176" x14ac:dyDescent="0.25">
      <c r="A7" s="3"/>
      <c r="B7" s="56" t="s">
        <v>1</v>
      </c>
      <c r="C7" s="71">
        <v>20</v>
      </c>
      <c r="D7" s="71"/>
      <c r="E7" s="93">
        <f>Grunddaten[[#This Row],[Sitze im Hauptorgan]]/Grunddaten[[#Totals],[Sitze im Hauptorgan]]*Sitze_Ausschuss</f>
        <v>4</v>
      </c>
      <c r="F7" s="110" t="b">
        <f>OR(Grunddaten[[#This Row],[Proporzgenaue Zahl Ausschuss]]&gt;=1,Grunddaten[[#This Row],[Sitze im Hauptorgan]]&gt;Sitze_Hauptorgan/(1+Sitze_Ausschuss))</f>
        <v>1</v>
      </c>
      <c r="G7" s="159">
        <f>IF(ROUNDDOWN(Grunddaten[[#This Row],[Proporzgenaue Zahl Ausschuss]],0)&lt;&gt;ROUNDUP(Grunddaten[[#This Row],[Proporzgenaue Zahl Ausschuss]],0), ROUNDDOWN(Grunddaten[[#This Row],[Proporzgenaue Zahl Ausschuss]],0)&amp;" oder "&amp;ROUNDUP(Grunddaten[[#This Row],[Proporzgenaue Zahl Ausschuss]],0),ROUND(Grunddaten[[#This Row],[Proporzgenaue Zahl Ausschuss]],0))</f>
        <v>4</v>
      </c>
      <c r="H7" s="52" t="str">
        <f t="shared" ref="H7:H21" si="0">"OK"</f>
        <v>OK</v>
      </c>
      <c r="I7" s="52" t="str">
        <f>IF(TabSLS[[#This Row],[QK verletzt]],"NOK","OK")</f>
        <v>OK</v>
      </c>
      <c r="J7" s="53" t="str">
        <f>IF(TabDH[[#This Row],[QK verletzt]],"NOK","OK")</f>
        <v>NOK</v>
      </c>
      <c r="K7" s="3"/>
      <c r="L7" s="92">
        <f>TabHN[[#This Row],[S ganz]]+IF(NOT(TabHN[[#This Row],[Patt]]),TabHN[[#This Row],[Restsitz]],0)</f>
        <v>4</v>
      </c>
      <c r="M7" s="29">
        <f>IF(TabHN[[#This Row],[Patt]],IF(Pattaufloesung="Los-Chance",TabHN[[#This Row],[Los Chance]],TabHN[[#This Row],[Pattgewinn]]+0),0)</f>
        <v>0</v>
      </c>
      <c r="N7" s="30">
        <f>INT(Grunddaten[[#This Row],[Proporzgenaue Zahl Ausschuss]])</f>
        <v>4</v>
      </c>
      <c r="O7" s="31">
        <f>ROUND(Grunddaten[[#This Row],[Proporzgenaue Zahl Ausschuss]]-TabHN[[#This Row],[S ganz]],4)</f>
        <v>0</v>
      </c>
      <c r="P7" s="32">
        <f>_xlfn.RANK.EQ(TabHN[[#This Row],[S Rest]],TabHN[S Rest],0)</f>
        <v>10</v>
      </c>
      <c r="Q7" s="30">
        <f>IF(TabHN[[#This Row],[Rng Rest]]&lt;=TabHN[[#Totals],[S Rest]],1,0)</f>
        <v>0</v>
      </c>
      <c r="R7" s="30" t="b">
        <f>AND(TabHN[[#This Row],[Restsitz]]=1,(COUNTIF(TabHN[Rng Rest],TabHN[[#This Row],[Rng Rest]])+TabHN[[#This Row],[Rng Rest]]-1)&gt;TabHN[[#Totals],[S Rest]])</f>
        <v>0</v>
      </c>
      <c r="S7" s="33">
        <f>IF(TabHN[[#This Row],[Patt]],(Sitze_Ausschuss-SUM(TabHN[Sitze]))/TabHN[[#Totals],[Patt]],0)</f>
        <v>0</v>
      </c>
      <c r="T7" s="34">
        <f>TabHN[[#This Row],[Patt]]*IF(Pattaufloesung="Stimmen",TabPatt[[#This Row],[Stimmen]],0)*1</f>
        <v>0</v>
      </c>
      <c r="U7" s="35" t="b">
        <f>_xlfn.RANK.EQ(TabHN[[#This Row],[Stimmen/Gelost]],TabHN[Stimmen/Gelost],0)&lt;=(Sitze_Ausschuss-SUM(TabHN[Sitze]))</f>
        <v>1</v>
      </c>
      <c r="V7" s="3"/>
      <c r="W7" s="36">
        <f>COUNTIF(TabSLS[[#This Row],[SP1]:[SP37]],"SITZ")</f>
        <v>4</v>
      </c>
      <c r="X7" s="37">
        <f>IF(TabSLS[[#This Row],[Patt?]],IF(Pattaufloesung="Los-Chance",TabSLS[[#This Row],[Los Chance]],TabSLS[[#This Row],[Pattgewinn]]+0),0)</f>
        <v>0</v>
      </c>
      <c r="Y7" s="38">
        <f>Grunddaten[[#This Row],[Sitze im Hauptorgan]]/_xlfn.NUMBERVALUE(MID(INDEX(TabSLS[[#Headers],[:1]:[:37]],COLUMN()-COLUMN(TabSLS[[#Headers],[:1]])+1),2,3))</f>
        <v>20</v>
      </c>
      <c r="Z7" s="39">
        <f>Grunddaten[[#This Row],[Sitze im Hauptorgan]]/_xlfn.NUMBERVALUE(MID(INDEX(TabSLS[[#Headers],[:1]:[:37]],COLUMN()-COLUMN(TabSLS[[#Headers],[:1]])+1),2,3))</f>
        <v>6.666666666666667</v>
      </c>
      <c r="AA7" s="39">
        <f>Grunddaten[[#This Row],[Sitze im Hauptorgan]]/_xlfn.NUMBERVALUE(MID(INDEX(TabSLS[[#Headers],[:1]:[:37]],COLUMN()-COLUMN(TabSLS[[#Headers],[:1]])+1),2,3))</f>
        <v>4</v>
      </c>
      <c r="AB7" s="39">
        <f>Grunddaten[[#This Row],[Sitze im Hauptorgan]]/_xlfn.NUMBERVALUE(MID(INDEX(TabSLS[[#Headers],[:1]:[:37]],COLUMN()-COLUMN(TabSLS[[#Headers],[:1]])+1),2,3))</f>
        <v>2.8571428571428572</v>
      </c>
      <c r="AC7" s="39">
        <f>Grunddaten[[#This Row],[Sitze im Hauptorgan]]/_xlfn.NUMBERVALUE(MID(INDEX(TabSLS[[#Headers],[:1]:[:37]],COLUMN()-COLUMN(TabSLS[[#Headers],[:1]])+1),2,3))</f>
        <v>2.2222222222222223</v>
      </c>
      <c r="AD7" s="39">
        <f>Grunddaten[[#This Row],[Sitze im Hauptorgan]]/_xlfn.NUMBERVALUE(MID(INDEX(TabSLS[[#Headers],[:1]:[:37]],COLUMN()-COLUMN(TabSLS[[#Headers],[:1]])+1),2,3))</f>
        <v>1.8181818181818181</v>
      </c>
      <c r="AE7" s="39">
        <f>Grunddaten[[#This Row],[Sitze im Hauptorgan]]/_xlfn.NUMBERVALUE(MID(INDEX(TabSLS[[#Headers],[:1]:[:37]],COLUMN()-COLUMN(TabSLS[[#Headers],[:1]])+1),2,3))</f>
        <v>1.5384615384615385</v>
      </c>
      <c r="AF7" s="39">
        <f>Grunddaten[[#This Row],[Sitze im Hauptorgan]]/_xlfn.NUMBERVALUE(MID(INDEX(TabSLS[[#Headers],[:1]:[:37]],COLUMN()-COLUMN(TabSLS[[#Headers],[:1]])+1),2,3))</f>
        <v>1.3333333333333333</v>
      </c>
      <c r="AG7" s="39">
        <f>Grunddaten[[#This Row],[Sitze im Hauptorgan]]/_xlfn.NUMBERVALUE(MID(INDEX(TabSLS[[#Headers],[:1]:[:37]],COLUMN()-COLUMN(TabSLS[[#Headers],[:1]])+1),2,3))</f>
        <v>1.1764705882352942</v>
      </c>
      <c r="AH7" s="39">
        <f>Grunddaten[[#This Row],[Sitze im Hauptorgan]]/_xlfn.NUMBERVALUE(MID(INDEX(TabSLS[[#Headers],[:1]:[:37]],COLUMN()-COLUMN(TabSLS[[#Headers],[:1]])+1),2,3))</f>
        <v>1.0526315789473684</v>
      </c>
      <c r="AI7" s="39">
        <f>Grunddaten[[#This Row],[Sitze im Hauptorgan]]/_xlfn.NUMBERVALUE(MID(INDEX(TabSLS[[#Headers],[:1]:[:37]],COLUMN()-COLUMN(TabSLS[[#Headers],[:1]])+1),2,3))</f>
        <v>0.95238095238095233</v>
      </c>
      <c r="AJ7" s="39">
        <f>Grunddaten[[#This Row],[Sitze im Hauptorgan]]/_xlfn.NUMBERVALUE(MID(INDEX(TabSLS[[#Headers],[:1]:[:37]],COLUMN()-COLUMN(TabSLS[[#Headers],[:1]])+1),2,3))</f>
        <v>0.86956521739130432</v>
      </c>
      <c r="AK7" s="39">
        <f>Grunddaten[[#This Row],[Sitze im Hauptorgan]]/_xlfn.NUMBERVALUE(MID(INDEX(TabSLS[[#Headers],[:1]:[:37]],COLUMN()-COLUMN(TabSLS[[#Headers],[:1]])+1),2,3))</f>
        <v>0.8</v>
      </c>
      <c r="AL7" s="39">
        <f>Grunddaten[[#This Row],[Sitze im Hauptorgan]]/_xlfn.NUMBERVALUE(MID(INDEX(TabSLS[[#Headers],[:1]:[:37]],COLUMN()-COLUMN(TabSLS[[#Headers],[:1]])+1),2,3))</f>
        <v>0.7407407407407407</v>
      </c>
      <c r="AM7" s="39">
        <f>Grunddaten[[#This Row],[Sitze im Hauptorgan]]/_xlfn.NUMBERVALUE(MID(INDEX(TabSLS[[#Headers],[:1]:[:37]],COLUMN()-COLUMN(TabSLS[[#Headers],[:1]])+1),2,3))</f>
        <v>0.68965517241379315</v>
      </c>
      <c r="AN7" s="39">
        <f>Grunddaten[[#This Row],[Sitze im Hauptorgan]]/_xlfn.NUMBERVALUE(MID(INDEX(TabSLS[[#Headers],[:1]:[:37]],COLUMN()-COLUMN(TabSLS[[#Headers],[:1]])+1),2,3))</f>
        <v>0.64516129032258063</v>
      </c>
      <c r="AO7" s="39">
        <f>Grunddaten[[#This Row],[Sitze im Hauptorgan]]/_xlfn.NUMBERVALUE(MID(INDEX(TabSLS[[#Headers],[:1]:[:37]],COLUMN()-COLUMN(TabSLS[[#Headers],[:1]])+1),2,3))</f>
        <v>0.60606060606060608</v>
      </c>
      <c r="AP7" s="39">
        <f>Grunddaten[[#This Row],[Sitze im Hauptorgan]]/_xlfn.NUMBERVALUE(MID(INDEX(TabSLS[[#Headers],[:1]:[:37]],COLUMN()-COLUMN(TabSLS[[#Headers],[:1]])+1),2,3))</f>
        <v>0.5714285714285714</v>
      </c>
      <c r="AQ7" s="40">
        <f>Grunddaten[[#This Row],[Sitze im Hauptorgan]]/_xlfn.NUMBERVALUE(MID(INDEX(TabSLS[[#Headers],[:1]:[:37]],COLUMN()-COLUMN(TabSLS[[#Headers],[:1]])+1),2,3))</f>
        <v>0.54054054054054057</v>
      </c>
      <c r="AR7" s="41">
        <f>_xlfn.RANK.EQ(TabSLS[[#This Row],[:1]],TabSLS[[:1]:[:37]],0)</f>
        <v>1</v>
      </c>
      <c r="AS7" s="42">
        <f>_xlfn.RANK.EQ(TabSLS[[#This Row],[:3]],TabSLS[[:1]:[:37]],0)</f>
        <v>5</v>
      </c>
      <c r="AT7" s="42">
        <f>_xlfn.RANK.EQ(TabSLS[[#This Row],[:5]],TabSLS[[:1]:[:37]],0)</f>
        <v>7</v>
      </c>
      <c r="AU7" s="42">
        <f>_xlfn.RANK.EQ(TabSLS[[#This Row],[:7]],TabSLS[[:1]:[:37]],0)</f>
        <v>12</v>
      </c>
      <c r="AV7" s="42">
        <f>_xlfn.RANK.EQ(TabSLS[[#This Row],[:9]],TabSLS[[:1]:[:37]],0)</f>
        <v>15</v>
      </c>
      <c r="AW7" s="42">
        <f>_xlfn.RANK.EQ(TabSLS[[#This Row],[:11]],TabSLS[[:1]:[:37]],0)</f>
        <v>21</v>
      </c>
      <c r="AX7" s="42">
        <f>_xlfn.RANK.EQ(TabSLS[[#This Row],[:13]],TabSLS[[:1]:[:37]],0)</f>
        <v>24</v>
      </c>
      <c r="AY7" s="42">
        <f>_xlfn.RANK.EQ(TabSLS[[#This Row],[:15]],TabSLS[[:1]:[:37]],0)</f>
        <v>27</v>
      </c>
      <c r="AZ7" s="42">
        <f>_xlfn.RANK.EQ(TabSLS[[#This Row],[:17]],TabSLS[[:1]:[:37]],0)</f>
        <v>30</v>
      </c>
      <c r="BA7" s="42">
        <f>_xlfn.RANK.EQ(TabSLS[[#This Row],[:19]],TabSLS[[:1]:[:37]],0)</f>
        <v>34</v>
      </c>
      <c r="BB7" s="42">
        <f>_xlfn.RANK.EQ(TabSLS[[#This Row],[:21]],TabSLS[[:1]:[:37]],0)</f>
        <v>37</v>
      </c>
      <c r="BC7" s="42">
        <f>_xlfn.RANK.EQ(TabSLS[[#This Row],[:23]],TabSLS[[:1]:[:37]],0)</f>
        <v>41</v>
      </c>
      <c r="BD7" s="42">
        <f>_xlfn.RANK.EQ(TabSLS[[#This Row],[:25]],TabSLS[[:1]:[:37]],0)</f>
        <v>43</v>
      </c>
      <c r="BE7" s="42">
        <f>_xlfn.RANK.EQ(TabSLS[[#This Row],[:27]],TabSLS[[:1]:[:37]],0)</f>
        <v>47</v>
      </c>
      <c r="BF7" s="42">
        <f>_xlfn.RANK.EQ(TabSLS[[#This Row],[:29]],TabSLS[[:1]:[:37]],0)</f>
        <v>50</v>
      </c>
      <c r="BG7" s="42">
        <f>_xlfn.RANK.EQ(TabSLS[[#This Row],[:31]],TabSLS[[:1]:[:37]],0)</f>
        <v>56</v>
      </c>
      <c r="BH7" s="42">
        <f>_xlfn.RANK.EQ(TabSLS[[#This Row],[:33]],TabSLS[[:1]:[:37]],0)</f>
        <v>59</v>
      </c>
      <c r="BI7" s="42">
        <f>_xlfn.RANK.EQ(TabSLS[[#This Row],[:35]],TabSLS[[:1]:[:37]],0)</f>
        <v>63</v>
      </c>
      <c r="BJ7" s="43">
        <f>_xlfn.RANK.EQ(TabSLS[[#This Row],[:37]],TabSLS[[:1]:[:37]],0)</f>
        <v>66</v>
      </c>
      <c r="BK7" s="44" t="str">
        <f>IF(TabSLS[[#This Row],[R1]]&lt;=Sitze_Ausschuss,IF(TabSLS[[#This Row],[R1]]+COUNTIF(TabSLS[[R1]:[R37]],TabSLS[[#This Row],[R1]])-1&lt;=Sitze_Ausschuss,"SITZ","PATT"),"")</f>
        <v>SITZ</v>
      </c>
      <c r="BL7" s="45" t="str">
        <f>IF(TabSLS[[#This Row],[R3]]&lt;=Sitze_Ausschuss,IF(TabSLS[[#This Row],[R3]]+COUNTIF(TabSLS[[R1]:[R37]],TabSLS[[#This Row],[R3]])-1&lt;=Sitze_Ausschuss,"SITZ","PATT"),"")</f>
        <v>SITZ</v>
      </c>
      <c r="BM7" s="45" t="str">
        <f>IF(TabSLS[[#This Row],[R5]]&lt;=Sitze_Ausschuss,IF(TabSLS[[#This Row],[R5]]+COUNTIF(TabSLS[[R1]:[R37]],TabSLS[[#This Row],[R5]])-1&lt;=Sitze_Ausschuss,"SITZ","PATT"),"")</f>
        <v>SITZ</v>
      </c>
      <c r="BN7" s="45" t="str">
        <f>IF(TabSLS[[#This Row],[R7]]&lt;=Sitze_Ausschuss,IF(TabSLS[[#This Row],[R7]]+COUNTIF(TabSLS[[R1]:[R37]],TabSLS[[#This Row],[R7]])-1&lt;=Sitze_Ausschuss,"SITZ","PATT"),"")</f>
        <v>SITZ</v>
      </c>
      <c r="BO7" s="45" t="str">
        <f>IF(TabSLS[[#This Row],[R9]]&lt;=Sitze_Ausschuss,IF(TabSLS[[#This Row],[R9]]+COUNTIF(TabSLS[[R1]:[R37]],TabSLS[[#This Row],[R9]])-1&lt;=Sitze_Ausschuss,"SITZ","PATT"),"")</f>
        <v/>
      </c>
      <c r="BP7" s="45" t="str">
        <f>IF(TabSLS[[#This Row],[R11]]&lt;=Sitze_Ausschuss,IF(TabSLS[[#This Row],[R11]]+COUNTIF(TabSLS[[R1]:[R37]],TabSLS[[#This Row],[R11]])-1&lt;=Sitze_Ausschuss,"SITZ","PATT"),"")</f>
        <v/>
      </c>
      <c r="BQ7" s="45" t="str">
        <f>IF(TabSLS[[#This Row],[R13]]&lt;=Sitze_Ausschuss,IF(TabSLS[[#This Row],[R13]]+COUNTIF(TabSLS[[R1]:[R37]],TabSLS[[#This Row],[R13]])-1&lt;=Sitze_Ausschuss,"SITZ","PATT"),"")</f>
        <v/>
      </c>
      <c r="BR7" s="45" t="str">
        <f>IF(TabSLS[[#This Row],[R15]]&lt;=Sitze_Ausschuss,IF(TabSLS[[#This Row],[R15]]+COUNTIF(TabSLS[[R1]:[R37]],TabSLS[[#This Row],[R15]])-1&lt;=Sitze_Ausschuss,"SITZ","PATT"),"")</f>
        <v/>
      </c>
      <c r="BS7" s="45" t="str">
        <f>IF(TabSLS[[#This Row],[R17]]&lt;=Sitze_Ausschuss,IF(TabSLS[[#This Row],[R17]]+COUNTIF(TabSLS[[R1]:[R37]],TabSLS[[#This Row],[R17]])-1&lt;=Sitze_Ausschuss,"SITZ","PATT"),"")</f>
        <v/>
      </c>
      <c r="BT7" s="45" t="str">
        <f>IF(TabSLS[[#This Row],[R19]]&lt;=Sitze_Ausschuss,IF(TabSLS[[#This Row],[R19]]+COUNTIF(TabSLS[[R1]:[R37]],TabSLS[[#This Row],[R19]])-1&lt;=Sitze_Ausschuss,"SITZ","PATT"),"")</f>
        <v/>
      </c>
      <c r="BU7" s="45" t="str">
        <f>IF(TabSLS[[#This Row],[R21]]&lt;=Sitze_Ausschuss,IF(TabSLS[[#This Row],[R21]]+COUNTIF(TabSLS[[R1]:[R37]],TabSLS[[#This Row],[R21]])-1&lt;=Sitze_Ausschuss,"SITZ","PATT"),"")</f>
        <v/>
      </c>
      <c r="BV7" s="45" t="str">
        <f>IF(TabSLS[[#This Row],[R23]]&lt;=Sitze_Ausschuss,IF(TabSLS[[#This Row],[R23]]+COUNTIF(TabSLS[[R1]:[R37]],TabSLS[[#This Row],[R23]])-1&lt;=Sitze_Ausschuss,"SITZ","PATT"),"")</f>
        <v/>
      </c>
      <c r="BW7" s="45" t="str">
        <f>IF(TabSLS[[#This Row],[R25]]&lt;=Sitze_Ausschuss,IF(TabSLS[[#This Row],[R25]]+COUNTIF(TabSLS[[R1]:[R37]],TabSLS[[#This Row],[R25]])-1&lt;=Sitze_Ausschuss,"SITZ","PATT"),"")</f>
        <v/>
      </c>
      <c r="BX7" s="45" t="str">
        <f>IF(TabSLS[[#This Row],[R27]]&lt;=Sitze_Ausschuss,IF(TabSLS[[#This Row],[R27]]+COUNTIF(TabSLS[[R1]:[R37]],TabSLS[[#This Row],[R27]])-1&lt;=Sitze_Ausschuss,"SITZ","PATT"),"")</f>
        <v/>
      </c>
      <c r="BY7" s="45" t="str">
        <f>IF(TabSLS[[#This Row],[R29]]&lt;=Sitze_Ausschuss,IF(TabSLS[[#This Row],[R29]]+COUNTIF(TabSLS[[R1]:[R37]],TabSLS[[#This Row],[R29]])-1&lt;=Sitze_Ausschuss,"SITZ","PATT"),"")</f>
        <v/>
      </c>
      <c r="BZ7" s="45" t="str">
        <f>IF(TabSLS[[#This Row],[R31]]&lt;=Sitze_Ausschuss,IF(TabSLS[[#This Row],[R31]]+COUNTIF(TabSLS[[R1]:[R37]],TabSLS[[#This Row],[R31]])-1&lt;=Sitze_Ausschuss,"SITZ","PATT"),"")</f>
        <v/>
      </c>
      <c r="CA7" s="45" t="str">
        <f>IF(TabSLS[[#This Row],[R33]]&lt;=Sitze_Ausschuss,IF(TabSLS[[#This Row],[R33]]+COUNTIF(TabSLS[[R1]:[R37]],TabSLS[[#This Row],[R33]])-1&lt;=Sitze_Ausschuss,"SITZ","PATT"),"")</f>
        <v/>
      </c>
      <c r="CB7" s="45" t="str">
        <f>IF(TabSLS[[#This Row],[R35]]&lt;=Sitze_Ausschuss,IF(TabSLS[[#This Row],[R35]]+COUNTIF(TabSLS[[R1]:[R37]],TabSLS[[#This Row],[R35]])-1&lt;=Sitze_Ausschuss,"SITZ","PATT"),"")</f>
        <v/>
      </c>
      <c r="CC7" s="46" t="str">
        <f>IF(TabSLS[[#This Row],[R37]]&lt;=Sitze_Ausschuss,IF(TabSLS[[#This Row],[R37]]+COUNTIF(TabSLS[[R1]:[R37]],TabSLS[[#This Row],[R37]])-1&lt;=Sitze_Ausschuss,"SITZ","PATT"),"")</f>
        <v/>
      </c>
      <c r="CD7" s="47" t="b">
        <f>COUNTIF(TabSLS[[#This Row],[SP1]:[SP37]],"PATT")&gt;0</f>
        <v>0</v>
      </c>
      <c r="CE7" s="33">
        <f>IF(TabSLS[[#This Row],[Patt?]],(Sitze_Ausschuss-SUM(TabSLS[Sitze]))/TabSLS[[#Totals],[Patt?]],0)</f>
        <v>0</v>
      </c>
      <c r="CF7" s="48">
        <f>TabSLS[[#This Row],[Patt?]]*IF(Pattaufloesung="Stimmen",TabPatt[[#This Row],[Stimmen]],0)*1</f>
        <v>0</v>
      </c>
      <c r="CG7" s="49" t="b">
        <f>_xlfn.RANK.EQ(TabSLS[[#This Row],[Stimmen Gelost]],TabSLS[Stimmen Gelost],0)&lt;=(Sitze_Ausschuss-SUM(TabSLS[Sitze]))</f>
        <v>0</v>
      </c>
      <c r="CH7" s="50" t="b">
        <f>OR(TabSLS[[#This Row],[Sitze]]&lt;ROUNDDOWN(Grunddaten[[#This Row],[Proporzgenaue Zahl Ausschuss]],0),TabSLS[[#This Row],[Sitze]]+(TabSLS[[#This Row],[Patt?]]*1)&gt;ROUNDUP(Grunddaten[[#This Row],[Proporzgenaue Zahl Ausschuss]],0))</f>
        <v>0</v>
      </c>
      <c r="CI7" s="3"/>
      <c r="CJ7" s="36">
        <f>COUNTIF(TabDH[[#This Row],[SP1]:[SP19]],"SITZ")</f>
        <v>5</v>
      </c>
      <c r="CK7" s="37">
        <f>IF(TabDH[[#This Row],[Patt]],IF(Pattaufloesung="Los-Chance",TabDH[[#This Row],[Los Chance]],TabDH[[#This Row],[Pattgewinn]]+0),0)</f>
        <v>0</v>
      </c>
      <c r="CL7" s="38">
        <f>Grunddaten[[#This Row],[Sitze im Hauptorgan]]/_xlfn.NUMBERVALUE(MID(INDEX(TabDH[[#Headers],[:1]:[:19]],COLUMN()-COLUMN(TabDH[[#Headers],[:1]])+1),2,3))</f>
        <v>20</v>
      </c>
      <c r="CM7" s="39">
        <f>Grunddaten[[#This Row],[Sitze im Hauptorgan]]/_xlfn.NUMBERVALUE(MID(INDEX(TabDH[[#Headers],[:1]:[:19]],COLUMN()-COLUMN(TabDH[[#Headers],[:1]])+1),2,3))</f>
        <v>10</v>
      </c>
      <c r="CN7" s="39">
        <f>Grunddaten[[#This Row],[Sitze im Hauptorgan]]/_xlfn.NUMBERVALUE(MID(INDEX(TabDH[[#Headers],[:1]:[:19]],COLUMN()-COLUMN(TabDH[[#Headers],[:1]])+1),2,3))</f>
        <v>6.666666666666667</v>
      </c>
      <c r="CO7" s="39">
        <f>Grunddaten[[#This Row],[Sitze im Hauptorgan]]/_xlfn.NUMBERVALUE(MID(INDEX(TabDH[[#Headers],[:1]:[:19]],COLUMN()-COLUMN(TabDH[[#Headers],[:1]])+1),2,3))</f>
        <v>5</v>
      </c>
      <c r="CP7" s="39">
        <f>Grunddaten[[#This Row],[Sitze im Hauptorgan]]/_xlfn.NUMBERVALUE(MID(INDEX(TabDH[[#Headers],[:1]:[:19]],COLUMN()-COLUMN(TabDH[[#Headers],[:1]])+1),2,3))</f>
        <v>4</v>
      </c>
      <c r="CQ7" s="39">
        <f>Grunddaten[[#This Row],[Sitze im Hauptorgan]]/_xlfn.NUMBERVALUE(MID(INDEX(TabDH[[#Headers],[:1]:[:19]],COLUMN()-COLUMN(TabDH[[#Headers],[:1]])+1),2,3))</f>
        <v>3.3333333333333335</v>
      </c>
      <c r="CR7" s="39">
        <f>Grunddaten[[#This Row],[Sitze im Hauptorgan]]/_xlfn.NUMBERVALUE(MID(INDEX(TabDH[[#Headers],[:1]:[:19]],COLUMN()-COLUMN(TabDH[[#Headers],[:1]])+1),2,3))</f>
        <v>2.8571428571428572</v>
      </c>
      <c r="CS7" s="39">
        <f>Grunddaten[[#This Row],[Sitze im Hauptorgan]]/_xlfn.NUMBERVALUE(MID(INDEX(TabDH[[#Headers],[:1]:[:19]],COLUMN()-COLUMN(TabDH[[#Headers],[:1]])+1),2,3))</f>
        <v>2.5</v>
      </c>
      <c r="CT7" s="39">
        <f>Grunddaten[[#This Row],[Sitze im Hauptorgan]]/_xlfn.NUMBERVALUE(MID(INDEX(TabDH[[#Headers],[:1]:[:19]],COLUMN()-COLUMN(TabDH[[#Headers],[:1]])+1),2,3))</f>
        <v>2.2222222222222223</v>
      </c>
      <c r="CU7" s="39">
        <f>Grunddaten[[#This Row],[Sitze im Hauptorgan]]/_xlfn.NUMBERVALUE(MID(INDEX(TabDH[[#Headers],[:1]:[:19]],COLUMN()-COLUMN(TabDH[[#Headers],[:1]])+1),2,3))</f>
        <v>2</v>
      </c>
      <c r="CV7" s="39">
        <f>Grunddaten[[#This Row],[Sitze im Hauptorgan]]/_xlfn.NUMBERVALUE(MID(INDEX(TabDH[[#Headers],[:1]:[:19]],COLUMN()-COLUMN(TabDH[[#Headers],[:1]])+1),2,3))</f>
        <v>1.8181818181818181</v>
      </c>
      <c r="CW7" s="39">
        <f>Grunddaten[[#This Row],[Sitze im Hauptorgan]]/_xlfn.NUMBERVALUE(MID(INDEX(TabDH[[#Headers],[:1]:[:19]],COLUMN()-COLUMN(TabDH[[#Headers],[:1]])+1),2,3))</f>
        <v>1.6666666666666667</v>
      </c>
      <c r="CX7" s="39">
        <f>Grunddaten[[#This Row],[Sitze im Hauptorgan]]/_xlfn.NUMBERVALUE(MID(INDEX(TabDH[[#Headers],[:1]:[:19]],COLUMN()-COLUMN(TabDH[[#Headers],[:1]])+1),2,3))</f>
        <v>1.5384615384615385</v>
      </c>
      <c r="CY7" s="39">
        <f>Grunddaten[[#This Row],[Sitze im Hauptorgan]]/_xlfn.NUMBERVALUE(MID(INDEX(TabDH[[#Headers],[:1]:[:19]],COLUMN()-COLUMN(TabDH[[#Headers],[:1]])+1),2,3))</f>
        <v>1.4285714285714286</v>
      </c>
      <c r="CZ7" s="39">
        <f>Grunddaten[[#This Row],[Sitze im Hauptorgan]]/_xlfn.NUMBERVALUE(MID(INDEX(TabDH[[#Headers],[:1]:[:19]],COLUMN()-COLUMN(TabDH[[#Headers],[:1]])+1),2,3))</f>
        <v>1.3333333333333333</v>
      </c>
      <c r="DA7" s="39">
        <f>Grunddaten[[#This Row],[Sitze im Hauptorgan]]/_xlfn.NUMBERVALUE(MID(INDEX(TabDH[[#Headers],[:1]:[:19]],COLUMN()-COLUMN(TabDH[[#Headers],[:1]])+1),2,3))</f>
        <v>1.25</v>
      </c>
      <c r="DB7" s="39">
        <f>Grunddaten[[#This Row],[Sitze im Hauptorgan]]/_xlfn.NUMBERVALUE(MID(INDEX(TabDH[[#Headers],[:1]:[:19]],COLUMN()-COLUMN(TabDH[[#Headers],[:1]])+1),2,3))</f>
        <v>1.1764705882352942</v>
      </c>
      <c r="DC7" s="39">
        <f>Grunddaten[[#This Row],[Sitze im Hauptorgan]]/_xlfn.NUMBERVALUE(MID(INDEX(TabDH[[#Headers],[:1]:[:19]],COLUMN()-COLUMN(TabDH[[#Headers],[:1]])+1),2,3))</f>
        <v>1.1111111111111112</v>
      </c>
      <c r="DD7" s="40">
        <f>Grunddaten[[#This Row],[Sitze im Hauptorgan]]/_xlfn.NUMBERVALUE(MID(INDEX(TabDH[[#Headers],[:1]:[:19]],COLUMN()-COLUMN(TabDH[[#Headers],[:1]])+1),2,3))</f>
        <v>1.0526315789473684</v>
      </c>
      <c r="DE7" s="41">
        <f>_xlfn.RANK.EQ(TabDH[[#This Row],[:1]],TabDH[[:1]:[:19]],0)</f>
        <v>1</v>
      </c>
      <c r="DF7" s="42">
        <f>_xlfn.RANK.EQ(TabDH[[#This Row],[:2]],TabDH[[:1]:[:19]],0)</f>
        <v>3</v>
      </c>
      <c r="DG7" s="42">
        <f>_xlfn.RANK.EQ(TabDH[[#This Row],[:3]],TabDH[[:1]:[:19]],0)</f>
        <v>7</v>
      </c>
      <c r="DH7" s="42">
        <f>_xlfn.RANK.EQ(TabDH[[#This Row],[:4]],TabDH[[:1]:[:19]],0)</f>
        <v>9</v>
      </c>
      <c r="DI7" s="42">
        <f>_xlfn.RANK.EQ(TabDH[[#This Row],[:5]],TabDH[[:1]:[:19]],0)</f>
        <v>11</v>
      </c>
      <c r="DJ7" s="42">
        <f>_xlfn.RANK.EQ(TabDH[[#This Row],[:6]],TabDH[[:1]:[:19]],0)</f>
        <v>15</v>
      </c>
      <c r="DK7" s="42">
        <f>_xlfn.RANK.EQ(TabDH[[#This Row],[:7]],TabDH[[:1]:[:19]],0)</f>
        <v>19</v>
      </c>
      <c r="DL7" s="42">
        <f>_xlfn.RANK.EQ(TabDH[[#This Row],[:8]],TabDH[[:1]:[:19]],0)</f>
        <v>22</v>
      </c>
      <c r="DM7" s="42">
        <f>_xlfn.RANK.EQ(TabDH[[#This Row],[:9]],TabDH[[:1]:[:19]],0)</f>
        <v>25</v>
      </c>
      <c r="DN7" s="42">
        <f>_xlfn.RANK.EQ(TabDH[[#This Row],[:10]],TabDH[[:1]:[:19]],0)</f>
        <v>26</v>
      </c>
      <c r="DO7" s="42">
        <f>_xlfn.RANK.EQ(TabDH[[#This Row],[:11]],TabDH[[:1]:[:19]],0)</f>
        <v>35</v>
      </c>
      <c r="DP7" s="42">
        <f>_xlfn.RANK.EQ(TabDH[[#This Row],[:12]],TabDH[[:1]:[:19]],0)</f>
        <v>37</v>
      </c>
      <c r="DQ7" s="42">
        <f>_xlfn.RANK.EQ(TabDH[[#This Row],[:13]],TabDH[[:1]:[:19]],0)</f>
        <v>41</v>
      </c>
      <c r="DR7" s="42">
        <f>_xlfn.RANK.EQ(TabDH[[#This Row],[:14]],TabDH[[:1]:[:19]],0)</f>
        <v>44</v>
      </c>
      <c r="DS7" s="42">
        <f>_xlfn.RANK.EQ(TabDH[[#This Row],[:15]],TabDH[[:1]:[:19]],0)</f>
        <v>46</v>
      </c>
      <c r="DT7" s="42">
        <f>_xlfn.RANK.EQ(TabDH[[#This Row],[:16]],TabDH[[:1]:[:19]],0)</f>
        <v>50</v>
      </c>
      <c r="DU7" s="42">
        <f>_xlfn.RANK.EQ(TabDH[[#This Row],[:17]],TabDH[[:1]:[:19]],0)</f>
        <v>53</v>
      </c>
      <c r="DV7" s="42">
        <f>_xlfn.RANK.EQ(TabDH[[#This Row],[:18]],TabDH[[:1]:[:19]],0)</f>
        <v>56</v>
      </c>
      <c r="DW7" s="43">
        <f>_xlfn.RANK.EQ(TabDH[[#This Row],[:19]],TabDH[[:1]:[:19]],0)</f>
        <v>59</v>
      </c>
      <c r="DX7" s="44" t="str">
        <f>IF(TabDH[[#This Row],[R1]]&lt;=Sitze_Ausschuss,IF(TabDH[[#This Row],[R1]]+COUNTIF(TabDH[[R1]:[R19]],TabDH[[#This Row],[R1]])-1&lt;=Sitze_Ausschuss,"SITZ","PATT"),"")</f>
        <v>SITZ</v>
      </c>
      <c r="DY7" s="45" t="str">
        <f>IF(TabDH[[#This Row],[R2]]&lt;=Sitze_Ausschuss,IF(TabDH[[#This Row],[R2]]+COUNTIF(TabDH[[R1]:[R19]],TabDH[[#This Row],[R2]])-1&lt;=Sitze_Ausschuss,"SITZ","PATT"),"")</f>
        <v>SITZ</v>
      </c>
      <c r="DZ7" s="45" t="str">
        <f>IF(TabDH[[#This Row],[R3]]&lt;=Sitze_Ausschuss,IF(TabDH[[#This Row],[R3]]+COUNTIF(TabDH[[R1]:[R19]],TabDH[[#This Row],[R3]])-1&lt;=Sitze_Ausschuss,"SITZ","PATT"),"")</f>
        <v>SITZ</v>
      </c>
      <c r="EA7" s="45" t="str">
        <f>IF(TabDH[[#This Row],[R4]]&lt;=Sitze_Ausschuss,IF(TabDH[[#This Row],[R4]]+COUNTIF(TabDH[[R1]:[R19]],TabDH[[#This Row],[R4]])-1&lt;=Sitze_Ausschuss,"SITZ","PATT"),"")</f>
        <v>SITZ</v>
      </c>
      <c r="EB7" s="45" t="str">
        <f>IF(TabDH[[#This Row],[R5]]&lt;=Sitze_Ausschuss,IF(TabDH[[#This Row],[R5]]+COUNTIF(TabDH[[R1]:[R19]],TabDH[[#This Row],[R5]])-1&lt;=Sitze_Ausschuss,"SITZ","PATT"),"")</f>
        <v>SITZ</v>
      </c>
      <c r="EC7" s="45" t="str">
        <f>IF(TabDH[[#This Row],[R6]]&lt;=Sitze_Ausschuss,IF(TabDH[[#This Row],[R6]]+COUNTIF(TabDH[[R1]:[R19]],TabDH[[#This Row],[R6]])-1&lt;=Sitze_Ausschuss,"SITZ","PATT"),"")</f>
        <v/>
      </c>
      <c r="ED7" s="45" t="str">
        <f>IF(TabDH[[#This Row],[R7]]&lt;=Sitze_Ausschuss,IF(TabDH[[#This Row],[R7]]+COUNTIF(TabDH[[R1]:[R19]],TabDH[[#This Row],[R7]])-1&lt;=Sitze_Ausschuss,"SITZ","PATT"),"")</f>
        <v/>
      </c>
      <c r="EE7" s="45" t="str">
        <f>IF(TabDH[[#This Row],[R8]]&lt;=Sitze_Ausschuss,IF(TabDH[[#This Row],[R8]]+COUNTIF(TabDH[[R1]:[R19]],TabDH[[#This Row],[R8]])-1&lt;=Sitze_Ausschuss,"SITZ","PATT"),"")</f>
        <v/>
      </c>
      <c r="EF7" s="45" t="str">
        <f>IF(TabDH[[#This Row],[R9]]&lt;=Sitze_Ausschuss,IF(TabDH[[#This Row],[R9]]+COUNTIF(TabDH[[R1]:[R19]],TabDH[[#This Row],[R9]])-1&lt;=Sitze_Ausschuss,"SITZ","PATT"),"")</f>
        <v/>
      </c>
      <c r="EG7" s="45" t="str">
        <f>IF(TabDH[[#This Row],[R10]]&lt;=Sitze_Ausschuss,IF(TabDH[[#This Row],[R10]]+COUNTIF(TabDH[[R1]:[R19]],TabDH[[#This Row],[R10]])-1&lt;=Sitze_Ausschuss,"SITZ","PATT"),"")</f>
        <v/>
      </c>
      <c r="EH7" s="45" t="str">
        <f>IF(TabDH[[#This Row],[R11]]&lt;=Sitze_Ausschuss,IF(TabDH[[#This Row],[R11]]+COUNTIF(TabDH[[R1]:[R19]],TabDH[[#This Row],[R11]])-1&lt;=Sitze_Ausschuss,"SITZ","PATT"),"")</f>
        <v/>
      </c>
      <c r="EI7" s="45" t="str">
        <f>IF(TabDH[[#This Row],[R12]]&lt;=Sitze_Ausschuss,IF(TabDH[[#This Row],[R12]]+COUNTIF(TabDH[[R1]:[R19]],TabDH[[#This Row],[R12]])-1&lt;=Sitze_Ausschuss,"SITZ","PATT"),"")</f>
        <v/>
      </c>
      <c r="EJ7" s="45" t="str">
        <f>IF(TabDH[[#This Row],[R13]]&lt;=Sitze_Ausschuss,IF(TabDH[[#This Row],[R13]]+COUNTIF(TabDH[[R1]:[R19]],TabDH[[#This Row],[R13]])-1&lt;=Sitze_Ausschuss,"SITZ","PATT"),"")</f>
        <v/>
      </c>
      <c r="EK7" s="45" t="str">
        <f>IF(TabDH[[#This Row],[R14]]&lt;=Sitze_Ausschuss,IF(TabDH[[#This Row],[R14]]+COUNTIF(TabDH[[R1]:[R19]],TabDH[[#This Row],[R14]])-1&lt;=Sitze_Ausschuss,"SITZ","PATT"),"")</f>
        <v/>
      </c>
      <c r="EL7" s="45" t="str">
        <f>IF(TabDH[[#This Row],[R15]]&lt;=Sitze_Ausschuss,IF(TabDH[[#This Row],[R15]]+COUNTIF(TabDH[[R1]:[R19]],TabDH[[#This Row],[R15]])-1&lt;=Sitze_Ausschuss,"SITZ","PATT"),"")</f>
        <v/>
      </c>
      <c r="EM7" s="45" t="str">
        <f>IF(TabDH[[#This Row],[R16]]&lt;=Sitze_Ausschuss,IF(TabDH[[#This Row],[R16]]+COUNTIF(TabDH[[R1]:[R19]],TabDH[[#This Row],[R16]])-1&lt;=Sitze_Ausschuss,"SITZ","PATT"),"")</f>
        <v/>
      </c>
      <c r="EN7" s="45" t="str">
        <f>IF(TabDH[[#This Row],[R17]]&lt;=Sitze_Ausschuss,IF(TabDH[[#This Row],[R17]]+COUNTIF(TabDH[[R1]:[R19]],TabDH[[#This Row],[R17]])-1&lt;=Sitze_Ausschuss,"SITZ","PATT"),"")</f>
        <v/>
      </c>
      <c r="EO7" s="45" t="str">
        <f>IF(TabDH[[#This Row],[R18]]&lt;=Sitze_Ausschuss,IF(TabDH[[#This Row],[R18]]+COUNTIF(TabDH[[R1]:[R19]],TabDH[[#This Row],[R18]])-1&lt;=Sitze_Ausschuss,"SITZ","PATT"),"")</f>
        <v/>
      </c>
      <c r="EP7" s="45" t="str">
        <f>IF(TabDH[[#This Row],[R19]]&lt;=Sitze_Ausschuss,IF(TabDH[[#This Row],[R19]]+COUNTIF(TabDH[[R1]:[R19]],TabDH[[#This Row],[R19]])-1&lt;=Sitze_Ausschuss,"SITZ","PATT"),"")</f>
        <v/>
      </c>
      <c r="EQ7" s="47" t="b">
        <f>COUNTIF(TabDH[[#This Row],[SP1]:[SP19]],"PATT")&gt;0</f>
        <v>0</v>
      </c>
      <c r="ER7" s="33">
        <f>IF(TabDH[[#This Row],[Patt]],(Sitze_Ausschuss-SUM(TabDH[Sitze]))/TabDH[[#Totals],[Patt]],0)</f>
        <v>0</v>
      </c>
      <c r="ES7" s="48">
        <f>TabDH[[#This Row],[Patt]]*IF(Pattaufloesung="Stimmen",TabPatt[[#This Row],[Stimmen]],0)*1</f>
        <v>0</v>
      </c>
      <c r="ET7" s="49" t="b">
        <f>_xlfn.RANK.EQ(TabDH[[#This Row],[Stimmen/Gelost]],TabDH[Stimmen/Gelost],0)&lt;=(Sitze_Ausschuss-SUM(TabDH[Sitze]))</f>
        <v>0</v>
      </c>
      <c r="EU7" s="50" t="b">
        <f>OR(TabDH[[#This Row],[Sitze]]&lt;ROUNDDOWN(Grunddaten[[#This Row],[Proporzgenaue Zahl Ausschuss]],0),TabDH[[#This Row],[Sitze]]+(TabDH[[#This Row],[Patt]]*1)&gt;ROUNDUP(Grunddaten[[#This Row],[Proporzgenaue Zahl Ausschuss]],0))</f>
        <v>1</v>
      </c>
      <c r="EV7" s="3"/>
      <c r="EW7" s="51" t="str">
        <f>Grunddaten[[#This Row],[Partei/Wählergruppe]]&amp;""</f>
        <v>CSU</v>
      </c>
      <c r="EX7" s="71">
        <v>6543</v>
      </c>
      <c r="EY7" s="3"/>
      <c r="EZ7">
        <f>IF(AND(Grunddaten[[#This Row],[Sitze im Hauptorgan]]&gt;0,ISBLANK(Grunddaten[[#This Row],[AG?]])),ROW())</f>
        <v>7</v>
      </c>
      <c r="FA7">
        <f t="shared" ref="FA7:FA21" si="1">IFERROR(RANK(EZ7,$EZ$7:$EZ$21,1),0)</f>
        <v>1</v>
      </c>
      <c r="FB7" t="str">
        <f>Grunddaten[[#This Row],[Partei/Wählergruppe]]</f>
        <v>CSU</v>
      </c>
      <c r="FC7">
        <f>Grunddaten[[#This Row],[Sitze im Hauptorgan]]</f>
        <v>20</v>
      </c>
      <c r="FD7">
        <f>TabPatt[[#This Row],[Stimmen]]</f>
        <v>6543</v>
      </c>
      <c r="FE7" t="str">
        <f>IF(Grunddaten[[#This Row],[AG?]]=FE$6,MID(Grunddaten[[#This Row],[Partei/Wählergruppe]],1,3),"")</f>
        <v/>
      </c>
      <c r="FF7" t="str">
        <f>IF(Grunddaten[[#This Row],[AG?]]=FF$6,MID(Grunddaten[[#This Row],[Partei/Wählergruppe]],1,3),"")</f>
        <v/>
      </c>
      <c r="FG7" t="str">
        <f>IF(Grunddaten[[#This Row],[AG?]]=FG$6,MID(Grunddaten[[#This Row],[Partei/Wählergruppe]],1,3),"")</f>
        <v/>
      </c>
      <c r="FH7" t="str">
        <f>IF(Grunddaten[[#This Row],[AG?]]=FH$6,MID(Grunddaten[[#This Row],[Partei/Wählergruppe]],1,3),"")</f>
        <v/>
      </c>
      <c r="FI7" s="154">
        <f>TabHN[[#This Row],[Sitze]]+TabHN[[#This Row],[Patt Auflösung]]</f>
        <v>4</v>
      </c>
      <c r="FJ7" s="154">
        <f>TabSLS[[#This Row],[Sitze]]+TabSLS[[#This Row],[Patt Auflösung]]</f>
        <v>4</v>
      </c>
      <c r="FK7" s="154">
        <f>TabDH[[#This Row],[Sitze]]+TabDH[[#This Row],[Patt Auflösung]]</f>
        <v>5</v>
      </c>
      <c r="FL7" s="154">
        <f>MIN(FI7:FK7)</f>
        <v>4</v>
      </c>
      <c r="FM7" s="154">
        <f>MAX(FI7:FK7)</f>
        <v>5</v>
      </c>
      <c r="FN7" t="str">
        <f>IF(FL7&gt;=1,"SITZ!",IF(FM7&gt;=1,"SITZ?","K.SITZ"))</f>
        <v>SITZ!</v>
      </c>
    </row>
    <row r="8" spans="1:176" x14ac:dyDescent="0.25">
      <c r="A8" s="3"/>
      <c r="B8" s="56" t="s">
        <v>2</v>
      </c>
      <c r="C8" s="71">
        <v>16</v>
      </c>
      <c r="D8" s="71"/>
      <c r="E8" s="93">
        <f>Grunddaten[[#This Row],[Sitze im Hauptorgan]]/Grunddaten[[#Totals],[Sitze im Hauptorgan]]*Sitze_Ausschuss</f>
        <v>3.1999999999999997</v>
      </c>
      <c r="F8" s="110" t="b">
        <f>OR(Grunddaten[[#This Row],[Proporzgenaue Zahl Ausschuss]]&gt;=1,Grunddaten[[#This Row],[Sitze im Hauptorgan]]&gt;Sitze_Hauptorgan/(1+Sitze_Ausschuss))</f>
        <v>1</v>
      </c>
      <c r="G8" s="159" t="str">
        <f>IF(ROUNDDOWN(Grunddaten[[#This Row],[Proporzgenaue Zahl Ausschuss]],0)&lt;&gt;ROUNDUP(Grunddaten[[#This Row],[Proporzgenaue Zahl Ausschuss]],0), ROUNDDOWN(Grunddaten[[#This Row],[Proporzgenaue Zahl Ausschuss]],0)&amp;" oder "&amp;ROUNDUP(Grunddaten[[#This Row],[Proporzgenaue Zahl Ausschuss]],0),ROUND(Grunddaten[[#This Row],[Proporzgenaue Zahl Ausschuss]],0))</f>
        <v>3 oder 4</v>
      </c>
      <c r="H8" s="52" t="str">
        <f t="shared" si="0"/>
        <v>OK</v>
      </c>
      <c r="I8" s="52" t="str">
        <f>IF(TabSLS[[#This Row],[QK verletzt]],"NOK","OK")</f>
        <v>OK</v>
      </c>
      <c r="J8" s="53" t="str">
        <f>IF(TabDH[[#This Row],[QK verletzt]],"NOK","OK")</f>
        <v>OK</v>
      </c>
      <c r="K8" s="3"/>
      <c r="L8" s="92">
        <f>TabHN[[#This Row],[S ganz]]+IF(NOT(TabHN[[#This Row],[Patt]]),TabHN[[#This Row],[Restsitz]],0)</f>
        <v>3</v>
      </c>
      <c r="M8" s="29">
        <f>IF(TabHN[[#This Row],[Patt]],IF(Pattaufloesung="Los-Chance",TabHN[[#This Row],[Los Chance]],TabHN[[#This Row],[Pattgewinn]]+0),0)</f>
        <v>0</v>
      </c>
      <c r="N8" s="30">
        <f>INT(Grunddaten[[#This Row],[Proporzgenaue Zahl Ausschuss]])</f>
        <v>3</v>
      </c>
      <c r="O8" s="31">
        <f>ROUND(Grunddaten[[#This Row],[Proporzgenaue Zahl Ausschuss]]-TabHN[[#This Row],[S ganz]],4)</f>
        <v>0.2</v>
      </c>
      <c r="P8" s="32">
        <f>_xlfn.RANK.EQ(TabHN[[#This Row],[S Rest]],TabHN[S Rest],0)</f>
        <v>8</v>
      </c>
      <c r="Q8" s="30">
        <f>IF(TabHN[[#This Row],[Rng Rest]]&lt;=TabHN[[#Totals],[S Rest]],1,0)</f>
        <v>0</v>
      </c>
      <c r="R8" s="30" t="b">
        <f>AND(TabHN[[#This Row],[Restsitz]]=1,(COUNTIF(TabHN[Rng Rest],TabHN[[#This Row],[Rng Rest]])+TabHN[[#This Row],[Rng Rest]]-1)&gt;TabHN[[#Totals],[S Rest]])</f>
        <v>0</v>
      </c>
      <c r="S8" s="33">
        <f>IF(TabHN[[#This Row],[Patt]],(Sitze_Ausschuss-SUM(TabHN[Sitze]))/TabHN[[#Totals],[Patt]],0)</f>
        <v>0</v>
      </c>
      <c r="T8" s="34">
        <f>TabHN[[#This Row],[Patt]]*IF(Pattaufloesung="Stimmen",TabPatt[[#This Row],[Stimmen]],0)*1</f>
        <v>0</v>
      </c>
      <c r="U8" s="35" t="b">
        <f>_xlfn.RANK.EQ(TabHN[[#This Row],[Stimmen/Gelost]],TabHN[Stimmen/Gelost],0)&lt;=(Sitze_Ausschuss-SUM(TabHN[Sitze]))</f>
        <v>1</v>
      </c>
      <c r="V8" s="3"/>
      <c r="W8" s="36">
        <f>COUNTIF(TabSLS[[#This Row],[SP1]:[SP37]],"SITZ")</f>
        <v>4</v>
      </c>
      <c r="X8" s="37">
        <f>IF(TabSLS[[#This Row],[Patt?]],IF(Pattaufloesung="Los-Chance",TabSLS[[#This Row],[Los Chance]],TabSLS[[#This Row],[Pattgewinn]]+0),0)</f>
        <v>0</v>
      </c>
      <c r="Y8" s="38">
        <f>Grunddaten[[#This Row],[Sitze im Hauptorgan]]/_xlfn.NUMBERVALUE(MID(INDEX(TabSLS[[#Headers],[:1]:[:37]],COLUMN()-COLUMN(TabSLS[[#Headers],[:1]])+1),2,3))</f>
        <v>16</v>
      </c>
      <c r="Z8" s="39">
        <f>Grunddaten[[#This Row],[Sitze im Hauptorgan]]/_xlfn.NUMBERVALUE(MID(INDEX(TabSLS[[#Headers],[:1]:[:37]],COLUMN()-COLUMN(TabSLS[[#Headers],[:1]])+1),2,3))</f>
        <v>5.333333333333333</v>
      </c>
      <c r="AA8" s="39">
        <f>Grunddaten[[#This Row],[Sitze im Hauptorgan]]/_xlfn.NUMBERVALUE(MID(INDEX(TabSLS[[#Headers],[:1]:[:37]],COLUMN()-COLUMN(TabSLS[[#Headers],[:1]])+1),2,3))</f>
        <v>3.2</v>
      </c>
      <c r="AB8" s="39">
        <f>Grunddaten[[#This Row],[Sitze im Hauptorgan]]/_xlfn.NUMBERVALUE(MID(INDEX(TabSLS[[#Headers],[:1]:[:37]],COLUMN()-COLUMN(TabSLS[[#Headers],[:1]])+1),2,3))</f>
        <v>2.2857142857142856</v>
      </c>
      <c r="AC8" s="39">
        <f>Grunddaten[[#This Row],[Sitze im Hauptorgan]]/_xlfn.NUMBERVALUE(MID(INDEX(TabSLS[[#Headers],[:1]:[:37]],COLUMN()-COLUMN(TabSLS[[#Headers],[:1]])+1),2,3))</f>
        <v>1.7777777777777777</v>
      </c>
      <c r="AD8" s="39">
        <f>Grunddaten[[#This Row],[Sitze im Hauptorgan]]/_xlfn.NUMBERVALUE(MID(INDEX(TabSLS[[#Headers],[:1]:[:37]],COLUMN()-COLUMN(TabSLS[[#Headers],[:1]])+1),2,3))</f>
        <v>1.4545454545454546</v>
      </c>
      <c r="AE8" s="39">
        <f>Grunddaten[[#This Row],[Sitze im Hauptorgan]]/_xlfn.NUMBERVALUE(MID(INDEX(TabSLS[[#Headers],[:1]:[:37]],COLUMN()-COLUMN(TabSLS[[#Headers],[:1]])+1),2,3))</f>
        <v>1.2307692307692308</v>
      </c>
      <c r="AF8" s="39">
        <f>Grunddaten[[#This Row],[Sitze im Hauptorgan]]/_xlfn.NUMBERVALUE(MID(INDEX(TabSLS[[#Headers],[:1]:[:37]],COLUMN()-COLUMN(TabSLS[[#Headers],[:1]])+1),2,3))</f>
        <v>1.0666666666666667</v>
      </c>
      <c r="AG8" s="39">
        <f>Grunddaten[[#This Row],[Sitze im Hauptorgan]]/_xlfn.NUMBERVALUE(MID(INDEX(TabSLS[[#Headers],[:1]:[:37]],COLUMN()-COLUMN(TabSLS[[#Headers],[:1]])+1),2,3))</f>
        <v>0.94117647058823528</v>
      </c>
      <c r="AH8" s="39">
        <f>Grunddaten[[#This Row],[Sitze im Hauptorgan]]/_xlfn.NUMBERVALUE(MID(INDEX(TabSLS[[#Headers],[:1]:[:37]],COLUMN()-COLUMN(TabSLS[[#Headers],[:1]])+1),2,3))</f>
        <v>0.84210526315789469</v>
      </c>
      <c r="AI8" s="39">
        <f>Grunddaten[[#This Row],[Sitze im Hauptorgan]]/_xlfn.NUMBERVALUE(MID(INDEX(TabSLS[[#Headers],[:1]:[:37]],COLUMN()-COLUMN(TabSLS[[#Headers],[:1]])+1),2,3))</f>
        <v>0.76190476190476186</v>
      </c>
      <c r="AJ8" s="39">
        <f>Grunddaten[[#This Row],[Sitze im Hauptorgan]]/_xlfn.NUMBERVALUE(MID(INDEX(TabSLS[[#Headers],[:1]:[:37]],COLUMN()-COLUMN(TabSLS[[#Headers],[:1]])+1),2,3))</f>
        <v>0.69565217391304346</v>
      </c>
      <c r="AK8" s="39">
        <f>Grunddaten[[#This Row],[Sitze im Hauptorgan]]/_xlfn.NUMBERVALUE(MID(INDEX(TabSLS[[#Headers],[:1]:[:37]],COLUMN()-COLUMN(TabSLS[[#Headers],[:1]])+1),2,3))</f>
        <v>0.64</v>
      </c>
      <c r="AL8" s="39">
        <f>Grunddaten[[#This Row],[Sitze im Hauptorgan]]/_xlfn.NUMBERVALUE(MID(INDEX(TabSLS[[#Headers],[:1]:[:37]],COLUMN()-COLUMN(TabSLS[[#Headers],[:1]])+1),2,3))</f>
        <v>0.59259259259259256</v>
      </c>
      <c r="AM8" s="39">
        <f>Grunddaten[[#This Row],[Sitze im Hauptorgan]]/_xlfn.NUMBERVALUE(MID(INDEX(TabSLS[[#Headers],[:1]:[:37]],COLUMN()-COLUMN(TabSLS[[#Headers],[:1]])+1),2,3))</f>
        <v>0.55172413793103448</v>
      </c>
      <c r="AN8" s="39">
        <f>Grunddaten[[#This Row],[Sitze im Hauptorgan]]/_xlfn.NUMBERVALUE(MID(INDEX(TabSLS[[#Headers],[:1]:[:37]],COLUMN()-COLUMN(TabSLS[[#Headers],[:1]])+1),2,3))</f>
        <v>0.5161290322580645</v>
      </c>
      <c r="AO8" s="39">
        <f>Grunddaten[[#This Row],[Sitze im Hauptorgan]]/_xlfn.NUMBERVALUE(MID(INDEX(TabSLS[[#Headers],[:1]:[:37]],COLUMN()-COLUMN(TabSLS[[#Headers],[:1]])+1),2,3))</f>
        <v>0.48484848484848486</v>
      </c>
      <c r="AP8" s="39">
        <f>Grunddaten[[#This Row],[Sitze im Hauptorgan]]/_xlfn.NUMBERVALUE(MID(INDEX(TabSLS[[#Headers],[:1]:[:37]],COLUMN()-COLUMN(TabSLS[[#Headers],[:1]])+1),2,3))</f>
        <v>0.45714285714285713</v>
      </c>
      <c r="AQ8" s="40">
        <f>Grunddaten[[#This Row],[Sitze im Hauptorgan]]/_xlfn.NUMBERVALUE(MID(INDEX(TabSLS[[#Headers],[:1]:[:37]],COLUMN()-COLUMN(TabSLS[[#Headers],[:1]])+1),2,3))</f>
        <v>0.43243243243243246</v>
      </c>
      <c r="AR8" s="41">
        <f>_xlfn.RANK.EQ(TabSLS[[#This Row],[:1]],TabSLS[[:1]:[:37]],0)</f>
        <v>2</v>
      </c>
      <c r="AS8" s="42">
        <f>_xlfn.RANK.EQ(TabSLS[[#This Row],[:3]],TabSLS[[:1]:[:37]],0)</f>
        <v>6</v>
      </c>
      <c r="AT8" s="42">
        <f>_xlfn.RANK.EQ(TabSLS[[#This Row],[:5]],TabSLS[[:1]:[:37]],0)</f>
        <v>10</v>
      </c>
      <c r="AU8" s="42">
        <f>_xlfn.RANK.EQ(TabSLS[[#This Row],[:7]],TabSLS[[:1]:[:37]],0)</f>
        <v>14</v>
      </c>
      <c r="AV8" s="42">
        <f>_xlfn.RANK.EQ(TabSLS[[#This Row],[:9]],TabSLS[[:1]:[:37]],0)</f>
        <v>22</v>
      </c>
      <c r="AW8" s="42">
        <f>_xlfn.RANK.EQ(TabSLS[[#This Row],[:11]],TabSLS[[:1]:[:37]],0)</f>
        <v>25</v>
      </c>
      <c r="AX8" s="42">
        <f>_xlfn.RANK.EQ(TabSLS[[#This Row],[:13]],TabSLS[[:1]:[:37]],0)</f>
        <v>29</v>
      </c>
      <c r="AY8" s="42">
        <f>_xlfn.RANK.EQ(TabSLS[[#This Row],[:15]],TabSLS[[:1]:[:37]],0)</f>
        <v>33</v>
      </c>
      <c r="AZ8" s="42">
        <f>_xlfn.RANK.EQ(TabSLS[[#This Row],[:17]],TabSLS[[:1]:[:37]],0)</f>
        <v>38</v>
      </c>
      <c r="BA8" s="42">
        <f>_xlfn.RANK.EQ(TabSLS[[#This Row],[:19]],TabSLS[[:1]:[:37]],0)</f>
        <v>42</v>
      </c>
      <c r="BB8" s="42">
        <f>_xlfn.RANK.EQ(TabSLS[[#This Row],[:21]],TabSLS[[:1]:[:37]],0)</f>
        <v>46</v>
      </c>
      <c r="BC8" s="42">
        <f>_xlfn.RANK.EQ(TabSLS[[#This Row],[:23]],TabSLS[[:1]:[:37]],0)</f>
        <v>49</v>
      </c>
      <c r="BD8" s="42">
        <f>_xlfn.RANK.EQ(TabSLS[[#This Row],[:25]],TabSLS[[:1]:[:37]],0)</f>
        <v>57</v>
      </c>
      <c r="BE8" s="42">
        <f>_xlfn.RANK.EQ(TabSLS[[#This Row],[:27]],TabSLS[[:1]:[:37]],0)</f>
        <v>61</v>
      </c>
      <c r="BF8" s="42">
        <f>_xlfn.RANK.EQ(TabSLS[[#This Row],[:29]],TabSLS[[:1]:[:37]],0)</f>
        <v>65</v>
      </c>
      <c r="BG8" s="42">
        <f>_xlfn.RANK.EQ(TabSLS[[#This Row],[:31]],TabSLS[[:1]:[:37]],0)</f>
        <v>69</v>
      </c>
      <c r="BH8" s="42">
        <f>_xlfn.RANK.EQ(TabSLS[[#This Row],[:33]],TabSLS[[:1]:[:37]],0)</f>
        <v>70</v>
      </c>
      <c r="BI8" s="42">
        <f>_xlfn.RANK.EQ(TabSLS[[#This Row],[:35]],TabSLS[[:1]:[:37]],0)</f>
        <v>73</v>
      </c>
      <c r="BJ8" s="43">
        <f>_xlfn.RANK.EQ(TabSLS[[#This Row],[:37]],TabSLS[[:1]:[:37]],0)</f>
        <v>76</v>
      </c>
      <c r="BK8" s="44" t="str">
        <f>IF(TabSLS[[#This Row],[R1]]&lt;=Sitze_Ausschuss,IF(TabSLS[[#This Row],[R1]]+COUNTIF(TabSLS[[R1]:[R37]],TabSLS[[#This Row],[R1]])-1&lt;=Sitze_Ausschuss,"SITZ","PATT"),"")</f>
        <v>SITZ</v>
      </c>
      <c r="BL8" s="45" t="str">
        <f>IF(TabSLS[[#This Row],[R3]]&lt;=Sitze_Ausschuss,IF(TabSLS[[#This Row],[R3]]+COUNTIF(TabSLS[[R1]:[R37]],TabSLS[[#This Row],[R3]])-1&lt;=Sitze_Ausschuss,"SITZ","PATT"),"")</f>
        <v>SITZ</v>
      </c>
      <c r="BM8" s="45" t="str">
        <f>IF(TabSLS[[#This Row],[R5]]&lt;=Sitze_Ausschuss,IF(TabSLS[[#This Row],[R5]]+COUNTIF(TabSLS[[R1]:[R37]],TabSLS[[#This Row],[R5]])-1&lt;=Sitze_Ausschuss,"SITZ","PATT"),"")</f>
        <v>SITZ</v>
      </c>
      <c r="BN8" s="45" t="str">
        <f>IF(TabSLS[[#This Row],[R7]]&lt;=Sitze_Ausschuss,IF(TabSLS[[#This Row],[R7]]+COUNTIF(TabSLS[[R1]:[R37]],TabSLS[[#This Row],[R7]])-1&lt;=Sitze_Ausschuss,"SITZ","PATT"),"")</f>
        <v>SITZ</v>
      </c>
      <c r="BO8" s="45" t="str">
        <f>IF(TabSLS[[#This Row],[R9]]&lt;=Sitze_Ausschuss,IF(TabSLS[[#This Row],[R9]]+COUNTIF(TabSLS[[R1]:[R37]],TabSLS[[#This Row],[R9]])-1&lt;=Sitze_Ausschuss,"SITZ","PATT"),"")</f>
        <v/>
      </c>
      <c r="BP8" s="45" t="str">
        <f>IF(TabSLS[[#This Row],[R11]]&lt;=Sitze_Ausschuss,IF(TabSLS[[#This Row],[R11]]+COUNTIF(TabSLS[[R1]:[R37]],TabSLS[[#This Row],[R11]])-1&lt;=Sitze_Ausschuss,"SITZ","PATT"),"")</f>
        <v/>
      </c>
      <c r="BQ8" s="45" t="str">
        <f>IF(TabSLS[[#This Row],[R13]]&lt;=Sitze_Ausschuss,IF(TabSLS[[#This Row],[R13]]+COUNTIF(TabSLS[[R1]:[R37]],TabSLS[[#This Row],[R13]])-1&lt;=Sitze_Ausschuss,"SITZ","PATT"),"")</f>
        <v/>
      </c>
      <c r="BR8" s="45" t="str">
        <f>IF(TabSLS[[#This Row],[R15]]&lt;=Sitze_Ausschuss,IF(TabSLS[[#This Row],[R15]]+COUNTIF(TabSLS[[R1]:[R37]],TabSLS[[#This Row],[R15]])-1&lt;=Sitze_Ausschuss,"SITZ","PATT"),"")</f>
        <v/>
      </c>
      <c r="BS8" s="45" t="str">
        <f>IF(TabSLS[[#This Row],[R17]]&lt;=Sitze_Ausschuss,IF(TabSLS[[#This Row],[R17]]+COUNTIF(TabSLS[[R1]:[R37]],TabSLS[[#This Row],[R17]])-1&lt;=Sitze_Ausschuss,"SITZ","PATT"),"")</f>
        <v/>
      </c>
      <c r="BT8" s="45" t="str">
        <f>IF(TabSLS[[#This Row],[R19]]&lt;=Sitze_Ausschuss,IF(TabSLS[[#This Row],[R19]]+COUNTIF(TabSLS[[R1]:[R37]],TabSLS[[#This Row],[R19]])-1&lt;=Sitze_Ausschuss,"SITZ","PATT"),"")</f>
        <v/>
      </c>
      <c r="BU8" s="45" t="str">
        <f>IF(TabSLS[[#This Row],[R21]]&lt;=Sitze_Ausschuss,IF(TabSLS[[#This Row],[R21]]+COUNTIF(TabSLS[[R1]:[R37]],TabSLS[[#This Row],[R21]])-1&lt;=Sitze_Ausschuss,"SITZ","PATT"),"")</f>
        <v/>
      </c>
      <c r="BV8" s="45" t="str">
        <f>IF(TabSLS[[#This Row],[R23]]&lt;=Sitze_Ausschuss,IF(TabSLS[[#This Row],[R23]]+COUNTIF(TabSLS[[R1]:[R37]],TabSLS[[#This Row],[R23]])-1&lt;=Sitze_Ausschuss,"SITZ","PATT"),"")</f>
        <v/>
      </c>
      <c r="BW8" s="45" t="str">
        <f>IF(TabSLS[[#This Row],[R25]]&lt;=Sitze_Ausschuss,IF(TabSLS[[#This Row],[R25]]+COUNTIF(TabSLS[[R1]:[R37]],TabSLS[[#This Row],[R25]])-1&lt;=Sitze_Ausschuss,"SITZ","PATT"),"")</f>
        <v/>
      </c>
      <c r="BX8" s="45" t="str">
        <f>IF(TabSLS[[#This Row],[R27]]&lt;=Sitze_Ausschuss,IF(TabSLS[[#This Row],[R27]]+COUNTIF(TabSLS[[R1]:[R37]],TabSLS[[#This Row],[R27]])-1&lt;=Sitze_Ausschuss,"SITZ","PATT"),"")</f>
        <v/>
      </c>
      <c r="BY8" s="45" t="str">
        <f>IF(TabSLS[[#This Row],[R29]]&lt;=Sitze_Ausschuss,IF(TabSLS[[#This Row],[R29]]+COUNTIF(TabSLS[[R1]:[R37]],TabSLS[[#This Row],[R29]])-1&lt;=Sitze_Ausschuss,"SITZ","PATT"),"")</f>
        <v/>
      </c>
      <c r="BZ8" s="45" t="str">
        <f>IF(TabSLS[[#This Row],[R31]]&lt;=Sitze_Ausschuss,IF(TabSLS[[#This Row],[R31]]+COUNTIF(TabSLS[[R1]:[R37]],TabSLS[[#This Row],[R31]])-1&lt;=Sitze_Ausschuss,"SITZ","PATT"),"")</f>
        <v/>
      </c>
      <c r="CA8" s="45" t="str">
        <f>IF(TabSLS[[#This Row],[R33]]&lt;=Sitze_Ausschuss,IF(TabSLS[[#This Row],[R33]]+COUNTIF(TabSLS[[R1]:[R37]],TabSLS[[#This Row],[R33]])-1&lt;=Sitze_Ausschuss,"SITZ","PATT"),"")</f>
        <v/>
      </c>
      <c r="CB8" s="45" t="str">
        <f>IF(TabSLS[[#This Row],[R35]]&lt;=Sitze_Ausschuss,IF(TabSLS[[#This Row],[R35]]+COUNTIF(TabSLS[[R1]:[R37]],TabSLS[[#This Row],[R35]])-1&lt;=Sitze_Ausschuss,"SITZ","PATT"),"")</f>
        <v/>
      </c>
      <c r="CC8" s="46" t="str">
        <f>IF(TabSLS[[#This Row],[R37]]&lt;=Sitze_Ausschuss,IF(TabSLS[[#This Row],[R37]]+COUNTIF(TabSLS[[R1]:[R37]],TabSLS[[#This Row],[R37]])-1&lt;=Sitze_Ausschuss,"SITZ","PATT"),"")</f>
        <v/>
      </c>
      <c r="CD8" s="47" t="b">
        <f>COUNTIF(TabSLS[[#This Row],[SP1]:[SP37]],"PATT")&gt;0</f>
        <v>0</v>
      </c>
      <c r="CE8" s="33">
        <f>IF(TabSLS[[#This Row],[Patt?]],(Sitze_Ausschuss-SUM(TabSLS[Sitze]))/TabSLS[[#Totals],[Patt?]],0)</f>
        <v>0</v>
      </c>
      <c r="CF8" s="48">
        <f>TabSLS[[#This Row],[Patt?]]*IF(Pattaufloesung="Stimmen",TabPatt[[#This Row],[Stimmen]],0)*1</f>
        <v>0</v>
      </c>
      <c r="CG8" s="49" t="b">
        <f>_xlfn.RANK.EQ(TabSLS[[#This Row],[Stimmen Gelost]],TabSLS[Stimmen Gelost],0)&lt;=(Sitze_Ausschuss-SUM(TabSLS[Sitze]))</f>
        <v>0</v>
      </c>
      <c r="CH8" s="50" t="b">
        <f>OR(TabSLS[[#This Row],[Sitze]]&lt;ROUNDDOWN(Grunddaten[[#This Row],[Proporzgenaue Zahl Ausschuss]],0),TabSLS[[#This Row],[Sitze]]+(TabSLS[[#This Row],[Patt?]]*1)&gt;ROUNDUP(Grunddaten[[#This Row],[Proporzgenaue Zahl Ausschuss]],0))</f>
        <v>0</v>
      </c>
      <c r="CI8" s="3"/>
      <c r="CJ8" s="36">
        <f>COUNTIF(TabDH[[#This Row],[SP1]:[SP19]],"SITZ")</f>
        <v>4</v>
      </c>
      <c r="CK8" s="37">
        <f>IF(TabDH[[#This Row],[Patt]],IF(Pattaufloesung="Los-Chance",TabDH[[#This Row],[Los Chance]],TabDH[[#This Row],[Pattgewinn]]+0),0)</f>
        <v>0</v>
      </c>
      <c r="CL8" s="38">
        <f>Grunddaten[[#This Row],[Sitze im Hauptorgan]]/_xlfn.NUMBERVALUE(MID(INDEX(TabDH[[#Headers],[:1]:[:19]],COLUMN()-COLUMN(TabDH[[#Headers],[:1]])+1),2,3))</f>
        <v>16</v>
      </c>
      <c r="CM8" s="39">
        <f>Grunddaten[[#This Row],[Sitze im Hauptorgan]]/_xlfn.NUMBERVALUE(MID(INDEX(TabDH[[#Headers],[:1]:[:19]],COLUMN()-COLUMN(TabDH[[#Headers],[:1]])+1),2,3))</f>
        <v>8</v>
      </c>
      <c r="CN8" s="39">
        <f>Grunddaten[[#This Row],[Sitze im Hauptorgan]]/_xlfn.NUMBERVALUE(MID(INDEX(TabDH[[#Headers],[:1]:[:19]],COLUMN()-COLUMN(TabDH[[#Headers],[:1]])+1),2,3))</f>
        <v>5.333333333333333</v>
      </c>
      <c r="CO8" s="39">
        <f>Grunddaten[[#This Row],[Sitze im Hauptorgan]]/_xlfn.NUMBERVALUE(MID(INDEX(TabDH[[#Headers],[:1]:[:19]],COLUMN()-COLUMN(TabDH[[#Headers],[:1]])+1),2,3))</f>
        <v>4</v>
      </c>
      <c r="CP8" s="39">
        <f>Grunddaten[[#This Row],[Sitze im Hauptorgan]]/_xlfn.NUMBERVALUE(MID(INDEX(TabDH[[#Headers],[:1]:[:19]],COLUMN()-COLUMN(TabDH[[#Headers],[:1]])+1),2,3))</f>
        <v>3.2</v>
      </c>
      <c r="CQ8" s="39">
        <f>Grunddaten[[#This Row],[Sitze im Hauptorgan]]/_xlfn.NUMBERVALUE(MID(INDEX(TabDH[[#Headers],[:1]:[:19]],COLUMN()-COLUMN(TabDH[[#Headers],[:1]])+1),2,3))</f>
        <v>2.6666666666666665</v>
      </c>
      <c r="CR8" s="39">
        <f>Grunddaten[[#This Row],[Sitze im Hauptorgan]]/_xlfn.NUMBERVALUE(MID(INDEX(TabDH[[#Headers],[:1]:[:19]],COLUMN()-COLUMN(TabDH[[#Headers],[:1]])+1),2,3))</f>
        <v>2.2857142857142856</v>
      </c>
      <c r="CS8" s="39">
        <f>Grunddaten[[#This Row],[Sitze im Hauptorgan]]/_xlfn.NUMBERVALUE(MID(INDEX(TabDH[[#Headers],[:1]:[:19]],COLUMN()-COLUMN(TabDH[[#Headers],[:1]])+1),2,3))</f>
        <v>2</v>
      </c>
      <c r="CT8" s="39">
        <f>Grunddaten[[#This Row],[Sitze im Hauptorgan]]/_xlfn.NUMBERVALUE(MID(INDEX(TabDH[[#Headers],[:1]:[:19]],COLUMN()-COLUMN(TabDH[[#Headers],[:1]])+1),2,3))</f>
        <v>1.7777777777777777</v>
      </c>
      <c r="CU8" s="39">
        <f>Grunddaten[[#This Row],[Sitze im Hauptorgan]]/_xlfn.NUMBERVALUE(MID(INDEX(TabDH[[#Headers],[:1]:[:19]],COLUMN()-COLUMN(TabDH[[#Headers],[:1]])+1),2,3))</f>
        <v>1.6</v>
      </c>
      <c r="CV8" s="39">
        <f>Grunddaten[[#This Row],[Sitze im Hauptorgan]]/_xlfn.NUMBERVALUE(MID(INDEX(TabDH[[#Headers],[:1]:[:19]],COLUMN()-COLUMN(TabDH[[#Headers],[:1]])+1),2,3))</f>
        <v>1.4545454545454546</v>
      </c>
      <c r="CW8" s="39">
        <f>Grunddaten[[#This Row],[Sitze im Hauptorgan]]/_xlfn.NUMBERVALUE(MID(INDEX(TabDH[[#Headers],[:1]:[:19]],COLUMN()-COLUMN(TabDH[[#Headers],[:1]])+1),2,3))</f>
        <v>1.3333333333333333</v>
      </c>
      <c r="CX8" s="39">
        <f>Grunddaten[[#This Row],[Sitze im Hauptorgan]]/_xlfn.NUMBERVALUE(MID(INDEX(TabDH[[#Headers],[:1]:[:19]],COLUMN()-COLUMN(TabDH[[#Headers],[:1]])+1),2,3))</f>
        <v>1.2307692307692308</v>
      </c>
      <c r="CY8" s="39">
        <f>Grunddaten[[#This Row],[Sitze im Hauptorgan]]/_xlfn.NUMBERVALUE(MID(INDEX(TabDH[[#Headers],[:1]:[:19]],COLUMN()-COLUMN(TabDH[[#Headers],[:1]])+1),2,3))</f>
        <v>1.1428571428571428</v>
      </c>
      <c r="CZ8" s="39">
        <f>Grunddaten[[#This Row],[Sitze im Hauptorgan]]/_xlfn.NUMBERVALUE(MID(INDEX(TabDH[[#Headers],[:1]:[:19]],COLUMN()-COLUMN(TabDH[[#Headers],[:1]])+1),2,3))</f>
        <v>1.0666666666666667</v>
      </c>
      <c r="DA8" s="39">
        <f>Grunddaten[[#This Row],[Sitze im Hauptorgan]]/_xlfn.NUMBERVALUE(MID(INDEX(TabDH[[#Headers],[:1]:[:19]],COLUMN()-COLUMN(TabDH[[#Headers],[:1]])+1),2,3))</f>
        <v>1</v>
      </c>
      <c r="DB8" s="39">
        <f>Grunddaten[[#This Row],[Sitze im Hauptorgan]]/_xlfn.NUMBERVALUE(MID(INDEX(TabDH[[#Headers],[:1]:[:19]],COLUMN()-COLUMN(TabDH[[#Headers],[:1]])+1),2,3))</f>
        <v>0.94117647058823528</v>
      </c>
      <c r="DC8" s="39">
        <f>Grunddaten[[#This Row],[Sitze im Hauptorgan]]/_xlfn.NUMBERVALUE(MID(INDEX(TabDH[[#Headers],[:1]:[:19]],COLUMN()-COLUMN(TabDH[[#Headers],[:1]])+1),2,3))</f>
        <v>0.88888888888888884</v>
      </c>
      <c r="DD8" s="40">
        <f>Grunddaten[[#This Row],[Sitze im Hauptorgan]]/_xlfn.NUMBERVALUE(MID(INDEX(TabDH[[#Headers],[:1]:[:19]],COLUMN()-COLUMN(TabDH[[#Headers],[:1]])+1),2,3))</f>
        <v>0.84210526315789469</v>
      </c>
      <c r="DE8" s="41">
        <f>_xlfn.RANK.EQ(TabDH[[#This Row],[:1]],TabDH[[:1]:[:19]],0)</f>
        <v>2</v>
      </c>
      <c r="DF8" s="42">
        <f>_xlfn.RANK.EQ(TabDH[[#This Row],[:2]],TabDH[[:1]:[:19]],0)</f>
        <v>5</v>
      </c>
      <c r="DG8" s="42">
        <f>_xlfn.RANK.EQ(TabDH[[#This Row],[:3]],TabDH[[:1]:[:19]],0)</f>
        <v>8</v>
      </c>
      <c r="DH8" s="42">
        <f>_xlfn.RANK.EQ(TabDH[[#This Row],[:4]],TabDH[[:1]:[:19]],0)</f>
        <v>11</v>
      </c>
      <c r="DI8" s="42">
        <f>_xlfn.RANK.EQ(TabDH[[#This Row],[:5]],TabDH[[:1]:[:19]],0)</f>
        <v>17</v>
      </c>
      <c r="DJ8" s="42">
        <f>_xlfn.RANK.EQ(TabDH[[#This Row],[:6]],TabDH[[:1]:[:19]],0)</f>
        <v>20</v>
      </c>
      <c r="DK8" s="42">
        <f>_xlfn.RANK.EQ(TabDH[[#This Row],[:7]],TabDH[[:1]:[:19]],0)</f>
        <v>24</v>
      </c>
      <c r="DL8" s="42">
        <f>_xlfn.RANK.EQ(TabDH[[#This Row],[:8]],TabDH[[:1]:[:19]],0)</f>
        <v>26</v>
      </c>
      <c r="DM8" s="42">
        <f>_xlfn.RANK.EQ(TabDH[[#This Row],[:9]],TabDH[[:1]:[:19]],0)</f>
        <v>36</v>
      </c>
      <c r="DN8" s="42">
        <f>_xlfn.RANK.EQ(TabDH[[#This Row],[:10]],TabDH[[:1]:[:19]],0)</f>
        <v>39</v>
      </c>
      <c r="DO8" s="42">
        <f>_xlfn.RANK.EQ(TabDH[[#This Row],[:11]],TabDH[[:1]:[:19]],0)</f>
        <v>43</v>
      </c>
      <c r="DP8" s="42">
        <f>_xlfn.RANK.EQ(TabDH[[#This Row],[:12]],TabDH[[:1]:[:19]],0)</f>
        <v>46</v>
      </c>
      <c r="DQ8" s="42">
        <f>_xlfn.RANK.EQ(TabDH[[#This Row],[:13]],TabDH[[:1]:[:19]],0)</f>
        <v>52</v>
      </c>
      <c r="DR8" s="42">
        <f>_xlfn.RANK.EQ(TabDH[[#This Row],[:14]],TabDH[[:1]:[:19]],0)</f>
        <v>54</v>
      </c>
      <c r="DS8" s="42">
        <f>_xlfn.RANK.EQ(TabDH[[#This Row],[:15]],TabDH[[:1]:[:19]],0)</f>
        <v>58</v>
      </c>
      <c r="DT8" s="42">
        <f>_xlfn.RANK.EQ(TabDH[[#This Row],[:16]],TabDH[[:1]:[:19]],0)</f>
        <v>60</v>
      </c>
      <c r="DU8" s="42">
        <f>_xlfn.RANK.EQ(TabDH[[#This Row],[:17]],TabDH[[:1]:[:19]],0)</f>
        <v>70</v>
      </c>
      <c r="DV8" s="42">
        <f>_xlfn.RANK.EQ(TabDH[[#This Row],[:18]],TabDH[[:1]:[:19]],0)</f>
        <v>72</v>
      </c>
      <c r="DW8" s="43">
        <f>_xlfn.RANK.EQ(TabDH[[#This Row],[:19]],TabDH[[:1]:[:19]],0)</f>
        <v>74</v>
      </c>
      <c r="DX8" s="44" t="str">
        <f>IF(TabDH[[#This Row],[R1]]&lt;=Sitze_Ausschuss,IF(TabDH[[#This Row],[R1]]+COUNTIF(TabDH[[R1]:[R19]],TabDH[[#This Row],[R1]])-1&lt;=Sitze_Ausschuss,"SITZ","PATT"),"")</f>
        <v>SITZ</v>
      </c>
      <c r="DY8" s="45" t="str">
        <f>IF(TabDH[[#This Row],[R2]]&lt;=Sitze_Ausschuss,IF(TabDH[[#This Row],[R2]]+COUNTIF(TabDH[[R1]:[R19]],TabDH[[#This Row],[R2]])-1&lt;=Sitze_Ausschuss,"SITZ","PATT"),"")</f>
        <v>SITZ</v>
      </c>
      <c r="DZ8" s="45" t="str">
        <f>IF(TabDH[[#This Row],[R3]]&lt;=Sitze_Ausschuss,IF(TabDH[[#This Row],[R3]]+COUNTIF(TabDH[[R1]:[R19]],TabDH[[#This Row],[R3]])-1&lt;=Sitze_Ausschuss,"SITZ","PATT"),"")</f>
        <v>SITZ</v>
      </c>
      <c r="EA8" s="45" t="str">
        <f>IF(TabDH[[#This Row],[R4]]&lt;=Sitze_Ausschuss,IF(TabDH[[#This Row],[R4]]+COUNTIF(TabDH[[R1]:[R19]],TabDH[[#This Row],[R4]])-1&lt;=Sitze_Ausschuss,"SITZ","PATT"),"")</f>
        <v>SITZ</v>
      </c>
      <c r="EB8" s="45" t="str">
        <f>IF(TabDH[[#This Row],[R5]]&lt;=Sitze_Ausschuss,IF(TabDH[[#This Row],[R5]]+COUNTIF(TabDH[[R1]:[R19]],TabDH[[#This Row],[R5]])-1&lt;=Sitze_Ausschuss,"SITZ","PATT"),"")</f>
        <v/>
      </c>
      <c r="EC8" s="45" t="str">
        <f>IF(TabDH[[#This Row],[R6]]&lt;=Sitze_Ausschuss,IF(TabDH[[#This Row],[R6]]+COUNTIF(TabDH[[R1]:[R19]],TabDH[[#This Row],[R6]])-1&lt;=Sitze_Ausschuss,"SITZ","PATT"),"")</f>
        <v/>
      </c>
      <c r="ED8" s="45" t="str">
        <f>IF(TabDH[[#This Row],[R7]]&lt;=Sitze_Ausschuss,IF(TabDH[[#This Row],[R7]]+COUNTIF(TabDH[[R1]:[R19]],TabDH[[#This Row],[R7]])-1&lt;=Sitze_Ausschuss,"SITZ","PATT"),"")</f>
        <v/>
      </c>
      <c r="EE8" s="45" t="str">
        <f>IF(TabDH[[#This Row],[R8]]&lt;=Sitze_Ausschuss,IF(TabDH[[#This Row],[R8]]+COUNTIF(TabDH[[R1]:[R19]],TabDH[[#This Row],[R8]])-1&lt;=Sitze_Ausschuss,"SITZ","PATT"),"")</f>
        <v/>
      </c>
      <c r="EF8" s="45" t="str">
        <f>IF(TabDH[[#This Row],[R9]]&lt;=Sitze_Ausschuss,IF(TabDH[[#This Row],[R9]]+COUNTIF(TabDH[[R1]:[R19]],TabDH[[#This Row],[R9]])-1&lt;=Sitze_Ausschuss,"SITZ","PATT"),"")</f>
        <v/>
      </c>
      <c r="EG8" s="45" t="str">
        <f>IF(TabDH[[#This Row],[R10]]&lt;=Sitze_Ausschuss,IF(TabDH[[#This Row],[R10]]+COUNTIF(TabDH[[R1]:[R19]],TabDH[[#This Row],[R10]])-1&lt;=Sitze_Ausschuss,"SITZ","PATT"),"")</f>
        <v/>
      </c>
      <c r="EH8" s="45" t="str">
        <f>IF(TabDH[[#This Row],[R11]]&lt;=Sitze_Ausschuss,IF(TabDH[[#This Row],[R11]]+COUNTIF(TabDH[[R1]:[R19]],TabDH[[#This Row],[R11]])-1&lt;=Sitze_Ausschuss,"SITZ","PATT"),"")</f>
        <v/>
      </c>
      <c r="EI8" s="45" t="str">
        <f>IF(TabDH[[#This Row],[R12]]&lt;=Sitze_Ausschuss,IF(TabDH[[#This Row],[R12]]+COUNTIF(TabDH[[R1]:[R19]],TabDH[[#This Row],[R12]])-1&lt;=Sitze_Ausschuss,"SITZ","PATT"),"")</f>
        <v/>
      </c>
      <c r="EJ8" s="45" t="str">
        <f>IF(TabDH[[#This Row],[R13]]&lt;=Sitze_Ausschuss,IF(TabDH[[#This Row],[R13]]+COUNTIF(TabDH[[R1]:[R19]],TabDH[[#This Row],[R13]])-1&lt;=Sitze_Ausschuss,"SITZ","PATT"),"")</f>
        <v/>
      </c>
      <c r="EK8" s="45" t="str">
        <f>IF(TabDH[[#This Row],[R14]]&lt;=Sitze_Ausschuss,IF(TabDH[[#This Row],[R14]]+COUNTIF(TabDH[[R1]:[R19]],TabDH[[#This Row],[R14]])-1&lt;=Sitze_Ausschuss,"SITZ","PATT"),"")</f>
        <v/>
      </c>
      <c r="EL8" s="45" t="str">
        <f>IF(TabDH[[#This Row],[R15]]&lt;=Sitze_Ausschuss,IF(TabDH[[#This Row],[R15]]+COUNTIF(TabDH[[R1]:[R19]],TabDH[[#This Row],[R15]])-1&lt;=Sitze_Ausschuss,"SITZ","PATT"),"")</f>
        <v/>
      </c>
      <c r="EM8" s="45" t="str">
        <f>IF(TabDH[[#This Row],[R16]]&lt;=Sitze_Ausschuss,IF(TabDH[[#This Row],[R16]]+COUNTIF(TabDH[[R1]:[R19]],TabDH[[#This Row],[R16]])-1&lt;=Sitze_Ausschuss,"SITZ","PATT"),"")</f>
        <v/>
      </c>
      <c r="EN8" s="45" t="str">
        <f>IF(TabDH[[#This Row],[R17]]&lt;=Sitze_Ausschuss,IF(TabDH[[#This Row],[R17]]+COUNTIF(TabDH[[R1]:[R19]],TabDH[[#This Row],[R17]])-1&lt;=Sitze_Ausschuss,"SITZ","PATT"),"")</f>
        <v/>
      </c>
      <c r="EO8" s="45" t="str">
        <f>IF(TabDH[[#This Row],[R18]]&lt;=Sitze_Ausschuss,IF(TabDH[[#This Row],[R18]]+COUNTIF(TabDH[[R1]:[R19]],TabDH[[#This Row],[R18]])-1&lt;=Sitze_Ausschuss,"SITZ","PATT"),"")</f>
        <v/>
      </c>
      <c r="EP8" s="45" t="str">
        <f>IF(TabDH[[#This Row],[R19]]&lt;=Sitze_Ausschuss,IF(TabDH[[#This Row],[R19]]+COUNTIF(TabDH[[R1]:[R19]],TabDH[[#This Row],[R19]])-1&lt;=Sitze_Ausschuss,"SITZ","PATT"),"")</f>
        <v/>
      </c>
      <c r="EQ8" s="47" t="b">
        <f>COUNTIF(TabDH[[#This Row],[SP1]:[SP19]],"PATT")&gt;0</f>
        <v>0</v>
      </c>
      <c r="ER8" s="33">
        <f>IF(TabDH[[#This Row],[Patt]],(Sitze_Ausschuss-SUM(TabDH[Sitze]))/TabDH[[#Totals],[Patt]],0)</f>
        <v>0</v>
      </c>
      <c r="ES8" s="48">
        <f>TabDH[[#This Row],[Patt]]*IF(Pattaufloesung="Stimmen",TabPatt[[#This Row],[Stimmen]],0)*1</f>
        <v>0</v>
      </c>
      <c r="ET8" s="49" t="b">
        <f>_xlfn.RANK.EQ(TabDH[[#This Row],[Stimmen/Gelost]],TabDH[Stimmen/Gelost],0)&lt;=(Sitze_Ausschuss-SUM(TabDH[Sitze]))</f>
        <v>0</v>
      </c>
      <c r="EU8" s="50" t="b">
        <f>OR(TabDH[[#This Row],[Sitze]]&lt;ROUNDDOWN(Grunddaten[[#This Row],[Proporzgenaue Zahl Ausschuss]],0),TabDH[[#This Row],[Sitze]]+(TabDH[[#This Row],[Patt]]*1)&gt;ROUNDUP(Grunddaten[[#This Row],[Proporzgenaue Zahl Ausschuss]],0))</f>
        <v>0</v>
      </c>
      <c r="EV8" s="3"/>
      <c r="EW8" s="51" t="str">
        <f>Grunddaten[[#This Row],[Partei/Wählergruppe]]&amp;""</f>
        <v>GRÜNE</v>
      </c>
      <c r="EX8" s="71">
        <v>5432</v>
      </c>
      <c r="EY8" s="3"/>
      <c r="EZ8">
        <f>IF(AND(Grunddaten[[#This Row],[Sitze im Hauptorgan]]&gt;0,ISBLANK(Grunddaten[[#This Row],[AG?]])),ROW())</f>
        <v>8</v>
      </c>
      <c r="FA8">
        <f t="shared" si="1"/>
        <v>2</v>
      </c>
      <c r="FB8" t="str">
        <f>Grunddaten[[#This Row],[Partei/Wählergruppe]]</f>
        <v>GRÜNE</v>
      </c>
      <c r="FC8">
        <f>Grunddaten[[#This Row],[Sitze im Hauptorgan]]</f>
        <v>16</v>
      </c>
      <c r="FD8">
        <f>TabPatt[[#This Row],[Stimmen]]</f>
        <v>5432</v>
      </c>
      <c r="FE8" t="str">
        <f>IF(Grunddaten[[#This Row],[AG?]]=FE$6,MID(Grunddaten[[#This Row],[Partei/Wählergruppe]],1,3),"")</f>
        <v/>
      </c>
      <c r="FF8" t="str">
        <f>IF(Grunddaten[[#This Row],[AG?]]=FF$6,MID(Grunddaten[[#This Row],[Partei/Wählergruppe]],1,3),"")</f>
        <v/>
      </c>
      <c r="FG8" t="str">
        <f>IF(Grunddaten[[#This Row],[AG?]]=FG$6,MID(Grunddaten[[#This Row],[Partei/Wählergruppe]],1,3),"")</f>
        <v/>
      </c>
      <c r="FH8" t="str">
        <f>IF(Grunddaten[[#This Row],[AG?]]=FH$6,MID(Grunddaten[[#This Row],[Partei/Wählergruppe]],1,3),"")</f>
        <v/>
      </c>
      <c r="FI8" s="154">
        <f>TabHN[[#This Row],[Sitze]]+TabHN[[#This Row],[Patt Auflösung]]</f>
        <v>3</v>
      </c>
      <c r="FJ8" s="154">
        <f>TabSLS[[#This Row],[Sitze]]+TabSLS[[#This Row],[Patt Auflösung]]</f>
        <v>4</v>
      </c>
      <c r="FK8" s="154">
        <f>TabDH[[#This Row],[Sitze]]+TabDH[[#This Row],[Patt Auflösung]]</f>
        <v>4</v>
      </c>
      <c r="FL8" s="154">
        <f t="shared" ref="FL8:FL25" si="2">MIN(FI8:FK8)</f>
        <v>3</v>
      </c>
      <c r="FM8" s="154">
        <f t="shared" ref="FM8:FM25" si="3">MAX(FI8:FK8)</f>
        <v>4</v>
      </c>
      <c r="FN8" t="str">
        <f t="shared" ref="FN8:FN25" si="4">IF(FL8&gt;=1,"SITZ!",IF(FM8&gt;=1,"SITZ?","K.SITZ"))</f>
        <v>SITZ!</v>
      </c>
    </row>
    <row r="9" spans="1:176" x14ac:dyDescent="0.25">
      <c r="A9" s="3"/>
      <c r="B9" s="56" t="s">
        <v>120</v>
      </c>
      <c r="C9" s="71">
        <v>10</v>
      </c>
      <c r="D9" s="71"/>
      <c r="E9" s="93">
        <f>Grunddaten[[#This Row],[Sitze im Hauptorgan]]/Grunddaten[[#Totals],[Sitze im Hauptorgan]]*Sitze_Ausschuss</f>
        <v>2</v>
      </c>
      <c r="F9" s="110" t="b">
        <f>OR(Grunddaten[[#This Row],[Proporzgenaue Zahl Ausschuss]]&gt;=1,Grunddaten[[#This Row],[Sitze im Hauptorgan]]&gt;Sitze_Hauptorgan/(1+Sitze_Ausschuss))</f>
        <v>1</v>
      </c>
      <c r="G9" s="159">
        <f>IF(ROUNDDOWN(Grunddaten[[#This Row],[Proporzgenaue Zahl Ausschuss]],0)&lt;&gt;ROUNDUP(Grunddaten[[#This Row],[Proporzgenaue Zahl Ausschuss]],0), ROUNDDOWN(Grunddaten[[#This Row],[Proporzgenaue Zahl Ausschuss]],0)&amp;" oder "&amp;ROUNDUP(Grunddaten[[#This Row],[Proporzgenaue Zahl Ausschuss]],0),ROUND(Grunddaten[[#This Row],[Proporzgenaue Zahl Ausschuss]],0))</f>
        <v>2</v>
      </c>
      <c r="H9" s="52" t="str">
        <f t="shared" si="0"/>
        <v>OK</v>
      </c>
      <c r="I9" s="52" t="str">
        <f>IF(TabSLS[[#This Row],[QK verletzt]],"NOK","OK")</f>
        <v>OK</v>
      </c>
      <c r="J9" s="53" t="str">
        <f>IF(TabDH[[#This Row],[QK verletzt]],"NOK","OK")</f>
        <v>OK</v>
      </c>
      <c r="K9" s="3"/>
      <c r="L9" s="92">
        <f>TabHN[[#This Row],[S ganz]]+IF(NOT(TabHN[[#This Row],[Patt]]),TabHN[[#This Row],[Restsitz]],0)</f>
        <v>2</v>
      </c>
      <c r="M9" s="29">
        <f>IF(TabHN[[#This Row],[Patt]],IF(Pattaufloesung="Los-Chance",TabHN[[#This Row],[Los Chance]],TabHN[[#This Row],[Pattgewinn]]+0),0)</f>
        <v>0</v>
      </c>
      <c r="N9" s="30">
        <f>INT(Grunddaten[[#This Row],[Proporzgenaue Zahl Ausschuss]])</f>
        <v>2</v>
      </c>
      <c r="O9" s="31">
        <f>ROUND(Grunddaten[[#This Row],[Proporzgenaue Zahl Ausschuss]]-TabHN[[#This Row],[S ganz]],4)</f>
        <v>0</v>
      </c>
      <c r="P9" s="32">
        <f>_xlfn.RANK.EQ(TabHN[[#This Row],[S Rest]],TabHN[S Rest],0)</f>
        <v>10</v>
      </c>
      <c r="Q9" s="30">
        <f>IF(TabHN[[#This Row],[Rng Rest]]&lt;=TabHN[[#Totals],[S Rest]],1,0)</f>
        <v>0</v>
      </c>
      <c r="R9" s="30" t="b">
        <f>AND(TabHN[[#This Row],[Restsitz]]=1,(COUNTIF(TabHN[Rng Rest],TabHN[[#This Row],[Rng Rest]])+TabHN[[#This Row],[Rng Rest]]-1)&gt;TabHN[[#Totals],[S Rest]])</f>
        <v>0</v>
      </c>
      <c r="S9" s="33">
        <f>IF(TabHN[[#This Row],[Patt]],(Sitze_Ausschuss-SUM(TabHN[Sitze]))/TabHN[[#Totals],[Patt]],0)</f>
        <v>0</v>
      </c>
      <c r="T9" s="34">
        <f>TabHN[[#This Row],[Patt]]*IF(Pattaufloesung="Stimmen",TabPatt[[#This Row],[Stimmen]],0)*1</f>
        <v>0</v>
      </c>
      <c r="U9" s="35" t="b">
        <f>_xlfn.RANK.EQ(TabHN[[#This Row],[Stimmen/Gelost]],TabHN[Stimmen/Gelost],0)&lt;=(Sitze_Ausschuss-SUM(TabHN[Sitze]))</f>
        <v>1</v>
      </c>
      <c r="V9" s="3"/>
      <c r="W9" s="36">
        <f>COUNTIF(TabSLS[[#This Row],[SP1]:[SP37]],"SITZ")</f>
        <v>2</v>
      </c>
      <c r="X9" s="37">
        <f>IF(TabSLS[[#This Row],[Patt?]],IF(Pattaufloesung="Los-Chance",TabSLS[[#This Row],[Los Chance]],TabSLS[[#This Row],[Pattgewinn]]+0),0)</f>
        <v>0</v>
      </c>
      <c r="Y9" s="38">
        <f>Grunddaten[[#This Row],[Sitze im Hauptorgan]]/_xlfn.NUMBERVALUE(MID(INDEX(TabSLS[[#Headers],[:1]:[:37]],COLUMN()-COLUMN(TabSLS[[#Headers],[:1]])+1),2,3))</f>
        <v>10</v>
      </c>
      <c r="Z9" s="39">
        <f>Grunddaten[[#This Row],[Sitze im Hauptorgan]]/_xlfn.NUMBERVALUE(MID(INDEX(TabSLS[[#Headers],[:1]:[:37]],COLUMN()-COLUMN(TabSLS[[#Headers],[:1]])+1),2,3))</f>
        <v>3.3333333333333335</v>
      </c>
      <c r="AA9" s="39">
        <f>Grunddaten[[#This Row],[Sitze im Hauptorgan]]/_xlfn.NUMBERVALUE(MID(INDEX(TabSLS[[#Headers],[:1]:[:37]],COLUMN()-COLUMN(TabSLS[[#Headers],[:1]])+1),2,3))</f>
        <v>2</v>
      </c>
      <c r="AB9" s="39">
        <f>Grunddaten[[#This Row],[Sitze im Hauptorgan]]/_xlfn.NUMBERVALUE(MID(INDEX(TabSLS[[#Headers],[:1]:[:37]],COLUMN()-COLUMN(TabSLS[[#Headers],[:1]])+1),2,3))</f>
        <v>1.4285714285714286</v>
      </c>
      <c r="AC9" s="39">
        <f>Grunddaten[[#This Row],[Sitze im Hauptorgan]]/_xlfn.NUMBERVALUE(MID(INDEX(TabSLS[[#Headers],[:1]:[:37]],COLUMN()-COLUMN(TabSLS[[#Headers],[:1]])+1),2,3))</f>
        <v>1.1111111111111112</v>
      </c>
      <c r="AD9" s="39">
        <f>Grunddaten[[#This Row],[Sitze im Hauptorgan]]/_xlfn.NUMBERVALUE(MID(INDEX(TabSLS[[#Headers],[:1]:[:37]],COLUMN()-COLUMN(TabSLS[[#Headers],[:1]])+1),2,3))</f>
        <v>0.90909090909090906</v>
      </c>
      <c r="AE9" s="39">
        <f>Grunddaten[[#This Row],[Sitze im Hauptorgan]]/_xlfn.NUMBERVALUE(MID(INDEX(TabSLS[[#Headers],[:1]:[:37]],COLUMN()-COLUMN(TabSLS[[#Headers],[:1]])+1),2,3))</f>
        <v>0.76923076923076927</v>
      </c>
      <c r="AF9" s="39">
        <f>Grunddaten[[#This Row],[Sitze im Hauptorgan]]/_xlfn.NUMBERVALUE(MID(INDEX(TabSLS[[#Headers],[:1]:[:37]],COLUMN()-COLUMN(TabSLS[[#Headers],[:1]])+1),2,3))</f>
        <v>0.66666666666666663</v>
      </c>
      <c r="AG9" s="39">
        <f>Grunddaten[[#This Row],[Sitze im Hauptorgan]]/_xlfn.NUMBERVALUE(MID(INDEX(TabSLS[[#Headers],[:1]:[:37]],COLUMN()-COLUMN(TabSLS[[#Headers],[:1]])+1),2,3))</f>
        <v>0.58823529411764708</v>
      </c>
      <c r="AH9" s="39">
        <f>Grunddaten[[#This Row],[Sitze im Hauptorgan]]/_xlfn.NUMBERVALUE(MID(INDEX(TabSLS[[#Headers],[:1]:[:37]],COLUMN()-COLUMN(TabSLS[[#Headers],[:1]])+1),2,3))</f>
        <v>0.52631578947368418</v>
      </c>
      <c r="AI9" s="39">
        <f>Grunddaten[[#This Row],[Sitze im Hauptorgan]]/_xlfn.NUMBERVALUE(MID(INDEX(TabSLS[[#Headers],[:1]:[:37]],COLUMN()-COLUMN(TabSLS[[#Headers],[:1]])+1),2,3))</f>
        <v>0.47619047619047616</v>
      </c>
      <c r="AJ9" s="39">
        <f>Grunddaten[[#This Row],[Sitze im Hauptorgan]]/_xlfn.NUMBERVALUE(MID(INDEX(TabSLS[[#Headers],[:1]:[:37]],COLUMN()-COLUMN(TabSLS[[#Headers],[:1]])+1),2,3))</f>
        <v>0.43478260869565216</v>
      </c>
      <c r="AK9" s="39">
        <f>Grunddaten[[#This Row],[Sitze im Hauptorgan]]/_xlfn.NUMBERVALUE(MID(INDEX(TabSLS[[#Headers],[:1]:[:37]],COLUMN()-COLUMN(TabSLS[[#Headers],[:1]])+1),2,3))</f>
        <v>0.4</v>
      </c>
      <c r="AL9" s="39">
        <f>Grunddaten[[#This Row],[Sitze im Hauptorgan]]/_xlfn.NUMBERVALUE(MID(INDEX(TabSLS[[#Headers],[:1]:[:37]],COLUMN()-COLUMN(TabSLS[[#Headers],[:1]])+1),2,3))</f>
        <v>0.37037037037037035</v>
      </c>
      <c r="AM9" s="39">
        <f>Grunddaten[[#This Row],[Sitze im Hauptorgan]]/_xlfn.NUMBERVALUE(MID(INDEX(TabSLS[[#Headers],[:1]:[:37]],COLUMN()-COLUMN(TabSLS[[#Headers],[:1]])+1),2,3))</f>
        <v>0.34482758620689657</v>
      </c>
      <c r="AN9" s="39">
        <f>Grunddaten[[#This Row],[Sitze im Hauptorgan]]/_xlfn.NUMBERVALUE(MID(INDEX(TabSLS[[#Headers],[:1]:[:37]],COLUMN()-COLUMN(TabSLS[[#Headers],[:1]])+1),2,3))</f>
        <v>0.32258064516129031</v>
      </c>
      <c r="AO9" s="39">
        <f>Grunddaten[[#This Row],[Sitze im Hauptorgan]]/_xlfn.NUMBERVALUE(MID(INDEX(TabSLS[[#Headers],[:1]:[:37]],COLUMN()-COLUMN(TabSLS[[#Headers],[:1]])+1),2,3))</f>
        <v>0.30303030303030304</v>
      </c>
      <c r="AP9" s="39">
        <f>Grunddaten[[#This Row],[Sitze im Hauptorgan]]/_xlfn.NUMBERVALUE(MID(INDEX(TabSLS[[#Headers],[:1]:[:37]],COLUMN()-COLUMN(TabSLS[[#Headers],[:1]])+1),2,3))</f>
        <v>0.2857142857142857</v>
      </c>
      <c r="AQ9" s="40">
        <f>Grunddaten[[#This Row],[Sitze im Hauptorgan]]/_xlfn.NUMBERVALUE(MID(INDEX(TabSLS[[#Headers],[:1]:[:37]],COLUMN()-COLUMN(TabSLS[[#Headers],[:1]])+1),2,3))</f>
        <v>0.27027027027027029</v>
      </c>
      <c r="AR9" s="41">
        <f>_xlfn.RANK.EQ(TabSLS[[#This Row],[:1]],TabSLS[[:1]:[:37]],0)</f>
        <v>3</v>
      </c>
      <c r="AS9" s="42">
        <f>_xlfn.RANK.EQ(TabSLS[[#This Row],[:3]],TabSLS[[:1]:[:37]],0)</f>
        <v>9</v>
      </c>
      <c r="AT9" s="42">
        <f>_xlfn.RANK.EQ(TabSLS[[#This Row],[:5]],TabSLS[[:1]:[:37]],0)</f>
        <v>16</v>
      </c>
      <c r="AU9" s="42">
        <f>_xlfn.RANK.EQ(TabSLS[[#This Row],[:7]],TabSLS[[:1]:[:37]],0)</f>
        <v>26</v>
      </c>
      <c r="AV9" s="42">
        <f>_xlfn.RANK.EQ(TabSLS[[#This Row],[:9]],TabSLS[[:1]:[:37]],0)</f>
        <v>32</v>
      </c>
      <c r="AW9" s="42">
        <f>_xlfn.RANK.EQ(TabSLS[[#This Row],[:11]],TabSLS[[:1]:[:37]],0)</f>
        <v>39</v>
      </c>
      <c r="AX9" s="42">
        <f>_xlfn.RANK.EQ(TabSLS[[#This Row],[:13]],TabSLS[[:1]:[:37]],0)</f>
        <v>45</v>
      </c>
      <c r="AY9" s="42">
        <f>_xlfn.RANK.EQ(TabSLS[[#This Row],[:15]],TabSLS[[:1]:[:37]],0)</f>
        <v>51</v>
      </c>
      <c r="AZ9" s="42">
        <f>_xlfn.RANK.EQ(TabSLS[[#This Row],[:17]],TabSLS[[:1]:[:37]],0)</f>
        <v>62</v>
      </c>
      <c r="BA9" s="42">
        <f>_xlfn.RANK.EQ(TabSLS[[#This Row],[:19]],TabSLS[[:1]:[:37]],0)</f>
        <v>68</v>
      </c>
      <c r="BB9" s="42">
        <f>_xlfn.RANK.EQ(TabSLS[[#This Row],[:21]],TabSLS[[:1]:[:37]],0)</f>
        <v>71</v>
      </c>
      <c r="BC9" s="42">
        <f>_xlfn.RANK.EQ(TabSLS[[#This Row],[:23]],TabSLS[[:1]:[:37]],0)</f>
        <v>75</v>
      </c>
      <c r="BD9" s="42">
        <f>_xlfn.RANK.EQ(TabSLS[[#This Row],[:25]],TabSLS[[:1]:[:37]],0)</f>
        <v>79</v>
      </c>
      <c r="BE9" s="42">
        <f>_xlfn.RANK.EQ(TabSLS[[#This Row],[:27]],TabSLS[[:1]:[:37]],0)</f>
        <v>85</v>
      </c>
      <c r="BF9" s="42">
        <f>_xlfn.RANK.EQ(TabSLS[[#This Row],[:29]],TabSLS[[:1]:[:37]],0)</f>
        <v>88</v>
      </c>
      <c r="BG9" s="42">
        <f>_xlfn.RANK.EQ(TabSLS[[#This Row],[:31]],TabSLS[[:1]:[:37]],0)</f>
        <v>91</v>
      </c>
      <c r="BH9" s="42">
        <f>_xlfn.RANK.EQ(TabSLS[[#This Row],[:33]],TabSLS[[:1]:[:37]],0)</f>
        <v>94</v>
      </c>
      <c r="BI9" s="42">
        <f>_xlfn.RANK.EQ(TabSLS[[#This Row],[:35]],TabSLS[[:1]:[:37]],0)</f>
        <v>96</v>
      </c>
      <c r="BJ9" s="43">
        <f>_xlfn.RANK.EQ(TabSLS[[#This Row],[:37]],TabSLS[[:1]:[:37]],0)</f>
        <v>103</v>
      </c>
      <c r="BK9" s="44" t="str">
        <f>IF(TabSLS[[#This Row],[R1]]&lt;=Sitze_Ausschuss,IF(TabSLS[[#This Row],[R1]]+COUNTIF(TabSLS[[R1]:[R37]],TabSLS[[#This Row],[R1]])-1&lt;=Sitze_Ausschuss,"SITZ","PATT"),"")</f>
        <v>SITZ</v>
      </c>
      <c r="BL9" s="45" t="str">
        <f>IF(TabSLS[[#This Row],[R3]]&lt;=Sitze_Ausschuss,IF(TabSLS[[#This Row],[R3]]+COUNTIF(TabSLS[[R1]:[R37]],TabSLS[[#This Row],[R3]])-1&lt;=Sitze_Ausschuss,"SITZ","PATT"),"")</f>
        <v>SITZ</v>
      </c>
      <c r="BM9" s="45" t="str">
        <f>IF(TabSLS[[#This Row],[R5]]&lt;=Sitze_Ausschuss,IF(TabSLS[[#This Row],[R5]]+COUNTIF(TabSLS[[R1]:[R37]],TabSLS[[#This Row],[R5]])-1&lt;=Sitze_Ausschuss,"SITZ","PATT"),"")</f>
        <v/>
      </c>
      <c r="BN9" s="45" t="str">
        <f>IF(TabSLS[[#This Row],[R7]]&lt;=Sitze_Ausschuss,IF(TabSLS[[#This Row],[R7]]+COUNTIF(TabSLS[[R1]:[R37]],TabSLS[[#This Row],[R7]])-1&lt;=Sitze_Ausschuss,"SITZ","PATT"),"")</f>
        <v/>
      </c>
      <c r="BO9" s="45" t="str">
        <f>IF(TabSLS[[#This Row],[R9]]&lt;=Sitze_Ausschuss,IF(TabSLS[[#This Row],[R9]]+COUNTIF(TabSLS[[R1]:[R37]],TabSLS[[#This Row],[R9]])-1&lt;=Sitze_Ausschuss,"SITZ","PATT"),"")</f>
        <v/>
      </c>
      <c r="BP9" s="45" t="str">
        <f>IF(TabSLS[[#This Row],[R11]]&lt;=Sitze_Ausschuss,IF(TabSLS[[#This Row],[R11]]+COUNTIF(TabSLS[[R1]:[R37]],TabSLS[[#This Row],[R11]])-1&lt;=Sitze_Ausschuss,"SITZ","PATT"),"")</f>
        <v/>
      </c>
      <c r="BQ9" s="45" t="str">
        <f>IF(TabSLS[[#This Row],[R13]]&lt;=Sitze_Ausschuss,IF(TabSLS[[#This Row],[R13]]+COUNTIF(TabSLS[[R1]:[R37]],TabSLS[[#This Row],[R13]])-1&lt;=Sitze_Ausschuss,"SITZ","PATT"),"")</f>
        <v/>
      </c>
      <c r="BR9" s="45" t="str">
        <f>IF(TabSLS[[#This Row],[R15]]&lt;=Sitze_Ausschuss,IF(TabSLS[[#This Row],[R15]]+COUNTIF(TabSLS[[R1]:[R37]],TabSLS[[#This Row],[R15]])-1&lt;=Sitze_Ausschuss,"SITZ","PATT"),"")</f>
        <v/>
      </c>
      <c r="BS9" s="45" t="str">
        <f>IF(TabSLS[[#This Row],[R17]]&lt;=Sitze_Ausschuss,IF(TabSLS[[#This Row],[R17]]+COUNTIF(TabSLS[[R1]:[R37]],TabSLS[[#This Row],[R17]])-1&lt;=Sitze_Ausschuss,"SITZ","PATT"),"")</f>
        <v/>
      </c>
      <c r="BT9" s="45" t="str">
        <f>IF(TabSLS[[#This Row],[R19]]&lt;=Sitze_Ausschuss,IF(TabSLS[[#This Row],[R19]]+COUNTIF(TabSLS[[R1]:[R37]],TabSLS[[#This Row],[R19]])-1&lt;=Sitze_Ausschuss,"SITZ","PATT"),"")</f>
        <v/>
      </c>
      <c r="BU9" s="45" t="str">
        <f>IF(TabSLS[[#This Row],[R21]]&lt;=Sitze_Ausschuss,IF(TabSLS[[#This Row],[R21]]+COUNTIF(TabSLS[[R1]:[R37]],TabSLS[[#This Row],[R21]])-1&lt;=Sitze_Ausschuss,"SITZ","PATT"),"")</f>
        <v/>
      </c>
      <c r="BV9" s="45" t="str">
        <f>IF(TabSLS[[#This Row],[R23]]&lt;=Sitze_Ausschuss,IF(TabSLS[[#This Row],[R23]]+COUNTIF(TabSLS[[R1]:[R37]],TabSLS[[#This Row],[R23]])-1&lt;=Sitze_Ausschuss,"SITZ","PATT"),"")</f>
        <v/>
      </c>
      <c r="BW9" s="45" t="str">
        <f>IF(TabSLS[[#This Row],[R25]]&lt;=Sitze_Ausschuss,IF(TabSLS[[#This Row],[R25]]+COUNTIF(TabSLS[[R1]:[R37]],TabSLS[[#This Row],[R25]])-1&lt;=Sitze_Ausschuss,"SITZ","PATT"),"")</f>
        <v/>
      </c>
      <c r="BX9" s="45" t="str">
        <f>IF(TabSLS[[#This Row],[R27]]&lt;=Sitze_Ausschuss,IF(TabSLS[[#This Row],[R27]]+COUNTIF(TabSLS[[R1]:[R37]],TabSLS[[#This Row],[R27]])-1&lt;=Sitze_Ausschuss,"SITZ","PATT"),"")</f>
        <v/>
      </c>
      <c r="BY9" s="45" t="str">
        <f>IF(TabSLS[[#This Row],[R29]]&lt;=Sitze_Ausschuss,IF(TabSLS[[#This Row],[R29]]+COUNTIF(TabSLS[[R1]:[R37]],TabSLS[[#This Row],[R29]])-1&lt;=Sitze_Ausschuss,"SITZ","PATT"),"")</f>
        <v/>
      </c>
      <c r="BZ9" s="45" t="str">
        <f>IF(TabSLS[[#This Row],[R31]]&lt;=Sitze_Ausschuss,IF(TabSLS[[#This Row],[R31]]+COUNTIF(TabSLS[[R1]:[R37]],TabSLS[[#This Row],[R31]])-1&lt;=Sitze_Ausschuss,"SITZ","PATT"),"")</f>
        <v/>
      </c>
      <c r="CA9" s="45" t="str">
        <f>IF(TabSLS[[#This Row],[R33]]&lt;=Sitze_Ausschuss,IF(TabSLS[[#This Row],[R33]]+COUNTIF(TabSLS[[R1]:[R37]],TabSLS[[#This Row],[R33]])-1&lt;=Sitze_Ausschuss,"SITZ","PATT"),"")</f>
        <v/>
      </c>
      <c r="CB9" s="45" t="str">
        <f>IF(TabSLS[[#This Row],[R35]]&lt;=Sitze_Ausschuss,IF(TabSLS[[#This Row],[R35]]+COUNTIF(TabSLS[[R1]:[R37]],TabSLS[[#This Row],[R35]])-1&lt;=Sitze_Ausschuss,"SITZ","PATT"),"")</f>
        <v/>
      </c>
      <c r="CC9" s="46" t="str">
        <f>IF(TabSLS[[#This Row],[R37]]&lt;=Sitze_Ausschuss,IF(TabSLS[[#This Row],[R37]]+COUNTIF(TabSLS[[R1]:[R37]],TabSLS[[#This Row],[R37]])-1&lt;=Sitze_Ausschuss,"SITZ","PATT"),"")</f>
        <v/>
      </c>
      <c r="CD9" s="47" t="b">
        <f>COUNTIF(TabSLS[[#This Row],[SP1]:[SP37]],"PATT")&gt;0</f>
        <v>0</v>
      </c>
      <c r="CE9" s="33">
        <f>IF(TabSLS[[#This Row],[Patt?]],(Sitze_Ausschuss-SUM(TabSLS[Sitze]))/TabSLS[[#Totals],[Patt?]],0)</f>
        <v>0</v>
      </c>
      <c r="CF9" s="48">
        <f>TabSLS[[#This Row],[Patt?]]*IF(Pattaufloesung="Stimmen",TabPatt[[#This Row],[Stimmen]],0)*1</f>
        <v>0</v>
      </c>
      <c r="CG9" s="49" t="b">
        <f>_xlfn.RANK.EQ(TabSLS[[#This Row],[Stimmen Gelost]],TabSLS[Stimmen Gelost],0)&lt;=(Sitze_Ausschuss-SUM(TabSLS[Sitze]))</f>
        <v>0</v>
      </c>
      <c r="CH9" s="50" t="b">
        <f>OR(TabSLS[[#This Row],[Sitze]]&lt;ROUNDDOWN(Grunddaten[[#This Row],[Proporzgenaue Zahl Ausschuss]],0),TabSLS[[#This Row],[Sitze]]+(TabSLS[[#This Row],[Patt?]]*1)&gt;ROUNDUP(Grunddaten[[#This Row],[Proporzgenaue Zahl Ausschuss]],0))</f>
        <v>0</v>
      </c>
      <c r="CI9" s="3"/>
      <c r="CJ9" s="36">
        <f>COUNTIF(TabDH[[#This Row],[SP1]:[SP19]],"SITZ")</f>
        <v>2</v>
      </c>
      <c r="CK9" s="37">
        <f>IF(TabDH[[#This Row],[Patt]],IF(Pattaufloesung="Los-Chance",TabDH[[#This Row],[Los Chance]],TabDH[[#This Row],[Pattgewinn]]+0),0)</f>
        <v>0</v>
      </c>
      <c r="CL9" s="38">
        <f>Grunddaten[[#This Row],[Sitze im Hauptorgan]]/_xlfn.NUMBERVALUE(MID(INDEX(TabDH[[#Headers],[:1]:[:19]],COLUMN()-COLUMN(TabDH[[#Headers],[:1]])+1),2,3))</f>
        <v>10</v>
      </c>
      <c r="CM9" s="39">
        <f>Grunddaten[[#This Row],[Sitze im Hauptorgan]]/_xlfn.NUMBERVALUE(MID(INDEX(TabDH[[#Headers],[:1]:[:19]],COLUMN()-COLUMN(TabDH[[#Headers],[:1]])+1),2,3))</f>
        <v>5</v>
      </c>
      <c r="CN9" s="39">
        <f>Grunddaten[[#This Row],[Sitze im Hauptorgan]]/_xlfn.NUMBERVALUE(MID(INDEX(TabDH[[#Headers],[:1]:[:19]],COLUMN()-COLUMN(TabDH[[#Headers],[:1]])+1),2,3))</f>
        <v>3.3333333333333335</v>
      </c>
      <c r="CO9" s="39">
        <f>Grunddaten[[#This Row],[Sitze im Hauptorgan]]/_xlfn.NUMBERVALUE(MID(INDEX(TabDH[[#Headers],[:1]:[:19]],COLUMN()-COLUMN(TabDH[[#Headers],[:1]])+1),2,3))</f>
        <v>2.5</v>
      </c>
      <c r="CP9" s="39">
        <f>Grunddaten[[#This Row],[Sitze im Hauptorgan]]/_xlfn.NUMBERVALUE(MID(INDEX(TabDH[[#Headers],[:1]:[:19]],COLUMN()-COLUMN(TabDH[[#Headers],[:1]])+1),2,3))</f>
        <v>2</v>
      </c>
      <c r="CQ9" s="39">
        <f>Grunddaten[[#This Row],[Sitze im Hauptorgan]]/_xlfn.NUMBERVALUE(MID(INDEX(TabDH[[#Headers],[:1]:[:19]],COLUMN()-COLUMN(TabDH[[#Headers],[:1]])+1),2,3))</f>
        <v>1.6666666666666667</v>
      </c>
      <c r="CR9" s="39">
        <f>Grunddaten[[#This Row],[Sitze im Hauptorgan]]/_xlfn.NUMBERVALUE(MID(INDEX(TabDH[[#Headers],[:1]:[:19]],COLUMN()-COLUMN(TabDH[[#Headers],[:1]])+1),2,3))</f>
        <v>1.4285714285714286</v>
      </c>
      <c r="CS9" s="39">
        <f>Grunddaten[[#This Row],[Sitze im Hauptorgan]]/_xlfn.NUMBERVALUE(MID(INDEX(TabDH[[#Headers],[:1]:[:19]],COLUMN()-COLUMN(TabDH[[#Headers],[:1]])+1),2,3))</f>
        <v>1.25</v>
      </c>
      <c r="CT9" s="39">
        <f>Grunddaten[[#This Row],[Sitze im Hauptorgan]]/_xlfn.NUMBERVALUE(MID(INDEX(TabDH[[#Headers],[:1]:[:19]],COLUMN()-COLUMN(TabDH[[#Headers],[:1]])+1),2,3))</f>
        <v>1.1111111111111112</v>
      </c>
      <c r="CU9" s="39">
        <f>Grunddaten[[#This Row],[Sitze im Hauptorgan]]/_xlfn.NUMBERVALUE(MID(INDEX(TabDH[[#Headers],[:1]:[:19]],COLUMN()-COLUMN(TabDH[[#Headers],[:1]])+1),2,3))</f>
        <v>1</v>
      </c>
      <c r="CV9" s="39">
        <f>Grunddaten[[#This Row],[Sitze im Hauptorgan]]/_xlfn.NUMBERVALUE(MID(INDEX(TabDH[[#Headers],[:1]:[:19]],COLUMN()-COLUMN(TabDH[[#Headers],[:1]])+1),2,3))</f>
        <v>0.90909090909090906</v>
      </c>
      <c r="CW9" s="39">
        <f>Grunddaten[[#This Row],[Sitze im Hauptorgan]]/_xlfn.NUMBERVALUE(MID(INDEX(TabDH[[#Headers],[:1]:[:19]],COLUMN()-COLUMN(TabDH[[#Headers],[:1]])+1),2,3))</f>
        <v>0.83333333333333337</v>
      </c>
      <c r="CX9" s="39">
        <f>Grunddaten[[#This Row],[Sitze im Hauptorgan]]/_xlfn.NUMBERVALUE(MID(INDEX(TabDH[[#Headers],[:1]:[:19]],COLUMN()-COLUMN(TabDH[[#Headers],[:1]])+1),2,3))</f>
        <v>0.76923076923076927</v>
      </c>
      <c r="CY9" s="39">
        <f>Grunddaten[[#This Row],[Sitze im Hauptorgan]]/_xlfn.NUMBERVALUE(MID(INDEX(TabDH[[#Headers],[:1]:[:19]],COLUMN()-COLUMN(TabDH[[#Headers],[:1]])+1),2,3))</f>
        <v>0.7142857142857143</v>
      </c>
      <c r="CZ9" s="39">
        <f>Grunddaten[[#This Row],[Sitze im Hauptorgan]]/_xlfn.NUMBERVALUE(MID(INDEX(TabDH[[#Headers],[:1]:[:19]],COLUMN()-COLUMN(TabDH[[#Headers],[:1]])+1),2,3))</f>
        <v>0.66666666666666663</v>
      </c>
      <c r="DA9" s="39">
        <f>Grunddaten[[#This Row],[Sitze im Hauptorgan]]/_xlfn.NUMBERVALUE(MID(INDEX(TabDH[[#Headers],[:1]:[:19]],COLUMN()-COLUMN(TabDH[[#Headers],[:1]])+1),2,3))</f>
        <v>0.625</v>
      </c>
      <c r="DB9" s="39">
        <f>Grunddaten[[#This Row],[Sitze im Hauptorgan]]/_xlfn.NUMBERVALUE(MID(INDEX(TabDH[[#Headers],[:1]:[:19]],COLUMN()-COLUMN(TabDH[[#Headers],[:1]])+1),2,3))</f>
        <v>0.58823529411764708</v>
      </c>
      <c r="DC9" s="39">
        <f>Grunddaten[[#This Row],[Sitze im Hauptorgan]]/_xlfn.NUMBERVALUE(MID(INDEX(TabDH[[#Headers],[:1]:[:19]],COLUMN()-COLUMN(TabDH[[#Headers],[:1]])+1),2,3))</f>
        <v>0.55555555555555558</v>
      </c>
      <c r="DD9" s="40">
        <f>Grunddaten[[#This Row],[Sitze im Hauptorgan]]/_xlfn.NUMBERVALUE(MID(INDEX(TabDH[[#Headers],[:1]:[:19]],COLUMN()-COLUMN(TabDH[[#Headers],[:1]])+1),2,3))</f>
        <v>0.52631578947368418</v>
      </c>
      <c r="DE9" s="41">
        <f>_xlfn.RANK.EQ(TabDH[[#This Row],[:1]],TabDH[[:1]:[:19]],0)</f>
        <v>3</v>
      </c>
      <c r="DF9" s="42">
        <f>_xlfn.RANK.EQ(TabDH[[#This Row],[:2]],TabDH[[:1]:[:19]],0)</f>
        <v>9</v>
      </c>
      <c r="DG9" s="42">
        <f>_xlfn.RANK.EQ(TabDH[[#This Row],[:3]],TabDH[[:1]:[:19]],0)</f>
        <v>15</v>
      </c>
      <c r="DH9" s="42">
        <f>_xlfn.RANK.EQ(TabDH[[#This Row],[:4]],TabDH[[:1]:[:19]],0)</f>
        <v>22</v>
      </c>
      <c r="DI9" s="42">
        <f>_xlfn.RANK.EQ(TabDH[[#This Row],[:5]],TabDH[[:1]:[:19]],0)</f>
        <v>26</v>
      </c>
      <c r="DJ9" s="42">
        <f>_xlfn.RANK.EQ(TabDH[[#This Row],[:6]],TabDH[[:1]:[:19]],0)</f>
        <v>37</v>
      </c>
      <c r="DK9" s="42">
        <f>_xlfn.RANK.EQ(TabDH[[#This Row],[:7]],TabDH[[:1]:[:19]],0)</f>
        <v>44</v>
      </c>
      <c r="DL9" s="42">
        <f>_xlfn.RANK.EQ(TabDH[[#This Row],[:8]],TabDH[[:1]:[:19]],0)</f>
        <v>50</v>
      </c>
      <c r="DM9" s="42">
        <f>_xlfn.RANK.EQ(TabDH[[#This Row],[:9]],TabDH[[:1]:[:19]],0)</f>
        <v>56</v>
      </c>
      <c r="DN9" s="42">
        <f>_xlfn.RANK.EQ(TabDH[[#This Row],[:10]],TabDH[[:1]:[:19]],0)</f>
        <v>60</v>
      </c>
      <c r="DO9" s="42">
        <f>_xlfn.RANK.EQ(TabDH[[#This Row],[:11]],TabDH[[:1]:[:19]],0)</f>
        <v>71</v>
      </c>
      <c r="DP9" s="42">
        <f>_xlfn.RANK.EQ(TabDH[[#This Row],[:12]],TabDH[[:1]:[:19]],0)</f>
        <v>75</v>
      </c>
      <c r="DQ9" s="42">
        <f>_xlfn.RANK.EQ(TabDH[[#This Row],[:13]],TabDH[[:1]:[:19]],0)</f>
        <v>78</v>
      </c>
      <c r="DR9" s="42">
        <f>_xlfn.RANK.EQ(TabDH[[#This Row],[:14]],TabDH[[:1]:[:19]],0)</f>
        <v>81</v>
      </c>
      <c r="DS9" s="42">
        <f>_xlfn.RANK.EQ(TabDH[[#This Row],[:15]],TabDH[[:1]:[:19]],0)</f>
        <v>82</v>
      </c>
      <c r="DT9" s="42">
        <f>_xlfn.RANK.EQ(TabDH[[#This Row],[:16]],TabDH[[:1]:[:19]],0)</f>
        <v>89</v>
      </c>
      <c r="DU9" s="42">
        <f>_xlfn.RANK.EQ(TabDH[[#This Row],[:17]],TabDH[[:1]:[:19]],0)</f>
        <v>92</v>
      </c>
      <c r="DV9" s="42">
        <f>_xlfn.RANK.EQ(TabDH[[#This Row],[:18]],TabDH[[:1]:[:19]],0)</f>
        <v>95</v>
      </c>
      <c r="DW9" s="43">
        <f>_xlfn.RANK.EQ(TabDH[[#This Row],[:19]],TabDH[[:1]:[:19]],0)</f>
        <v>97</v>
      </c>
      <c r="DX9" s="44" t="str">
        <f>IF(TabDH[[#This Row],[R1]]&lt;=Sitze_Ausschuss,IF(TabDH[[#This Row],[R1]]+COUNTIF(TabDH[[R1]:[R19]],TabDH[[#This Row],[R1]])-1&lt;=Sitze_Ausschuss,"SITZ","PATT"),"")</f>
        <v>SITZ</v>
      </c>
      <c r="DY9" s="45" t="str">
        <f>IF(TabDH[[#This Row],[R2]]&lt;=Sitze_Ausschuss,IF(TabDH[[#This Row],[R2]]+COUNTIF(TabDH[[R1]:[R19]],TabDH[[#This Row],[R2]])-1&lt;=Sitze_Ausschuss,"SITZ","PATT"),"")</f>
        <v>SITZ</v>
      </c>
      <c r="DZ9" s="45" t="str">
        <f>IF(TabDH[[#This Row],[R3]]&lt;=Sitze_Ausschuss,IF(TabDH[[#This Row],[R3]]+COUNTIF(TabDH[[R1]:[R19]],TabDH[[#This Row],[R3]])-1&lt;=Sitze_Ausschuss,"SITZ","PATT"),"")</f>
        <v/>
      </c>
      <c r="EA9" s="45" t="str">
        <f>IF(TabDH[[#This Row],[R4]]&lt;=Sitze_Ausschuss,IF(TabDH[[#This Row],[R4]]+COUNTIF(TabDH[[R1]:[R19]],TabDH[[#This Row],[R4]])-1&lt;=Sitze_Ausschuss,"SITZ","PATT"),"")</f>
        <v/>
      </c>
      <c r="EB9" s="45" t="str">
        <f>IF(TabDH[[#This Row],[R5]]&lt;=Sitze_Ausschuss,IF(TabDH[[#This Row],[R5]]+COUNTIF(TabDH[[R1]:[R19]],TabDH[[#This Row],[R5]])-1&lt;=Sitze_Ausschuss,"SITZ","PATT"),"")</f>
        <v/>
      </c>
      <c r="EC9" s="45" t="str">
        <f>IF(TabDH[[#This Row],[R6]]&lt;=Sitze_Ausschuss,IF(TabDH[[#This Row],[R6]]+COUNTIF(TabDH[[R1]:[R19]],TabDH[[#This Row],[R6]])-1&lt;=Sitze_Ausschuss,"SITZ","PATT"),"")</f>
        <v/>
      </c>
      <c r="ED9" s="45" t="str">
        <f>IF(TabDH[[#This Row],[R7]]&lt;=Sitze_Ausschuss,IF(TabDH[[#This Row],[R7]]+COUNTIF(TabDH[[R1]:[R19]],TabDH[[#This Row],[R7]])-1&lt;=Sitze_Ausschuss,"SITZ","PATT"),"")</f>
        <v/>
      </c>
      <c r="EE9" s="45" t="str">
        <f>IF(TabDH[[#This Row],[R8]]&lt;=Sitze_Ausschuss,IF(TabDH[[#This Row],[R8]]+COUNTIF(TabDH[[R1]:[R19]],TabDH[[#This Row],[R8]])-1&lt;=Sitze_Ausschuss,"SITZ","PATT"),"")</f>
        <v/>
      </c>
      <c r="EF9" s="45" t="str">
        <f>IF(TabDH[[#This Row],[R9]]&lt;=Sitze_Ausschuss,IF(TabDH[[#This Row],[R9]]+COUNTIF(TabDH[[R1]:[R19]],TabDH[[#This Row],[R9]])-1&lt;=Sitze_Ausschuss,"SITZ","PATT"),"")</f>
        <v/>
      </c>
      <c r="EG9" s="45" t="str">
        <f>IF(TabDH[[#This Row],[R10]]&lt;=Sitze_Ausschuss,IF(TabDH[[#This Row],[R10]]+COUNTIF(TabDH[[R1]:[R19]],TabDH[[#This Row],[R10]])-1&lt;=Sitze_Ausschuss,"SITZ","PATT"),"")</f>
        <v/>
      </c>
      <c r="EH9" s="45" t="str">
        <f>IF(TabDH[[#This Row],[R11]]&lt;=Sitze_Ausschuss,IF(TabDH[[#This Row],[R11]]+COUNTIF(TabDH[[R1]:[R19]],TabDH[[#This Row],[R11]])-1&lt;=Sitze_Ausschuss,"SITZ","PATT"),"")</f>
        <v/>
      </c>
      <c r="EI9" s="45" t="str">
        <f>IF(TabDH[[#This Row],[R12]]&lt;=Sitze_Ausschuss,IF(TabDH[[#This Row],[R12]]+COUNTIF(TabDH[[R1]:[R19]],TabDH[[#This Row],[R12]])-1&lt;=Sitze_Ausschuss,"SITZ","PATT"),"")</f>
        <v/>
      </c>
      <c r="EJ9" s="45" t="str">
        <f>IF(TabDH[[#This Row],[R13]]&lt;=Sitze_Ausschuss,IF(TabDH[[#This Row],[R13]]+COUNTIF(TabDH[[R1]:[R19]],TabDH[[#This Row],[R13]])-1&lt;=Sitze_Ausschuss,"SITZ","PATT"),"")</f>
        <v/>
      </c>
      <c r="EK9" s="45" t="str">
        <f>IF(TabDH[[#This Row],[R14]]&lt;=Sitze_Ausschuss,IF(TabDH[[#This Row],[R14]]+COUNTIF(TabDH[[R1]:[R19]],TabDH[[#This Row],[R14]])-1&lt;=Sitze_Ausschuss,"SITZ","PATT"),"")</f>
        <v/>
      </c>
      <c r="EL9" s="45" t="str">
        <f>IF(TabDH[[#This Row],[R15]]&lt;=Sitze_Ausschuss,IF(TabDH[[#This Row],[R15]]+COUNTIF(TabDH[[R1]:[R19]],TabDH[[#This Row],[R15]])-1&lt;=Sitze_Ausschuss,"SITZ","PATT"),"")</f>
        <v/>
      </c>
      <c r="EM9" s="45" t="str">
        <f>IF(TabDH[[#This Row],[R16]]&lt;=Sitze_Ausschuss,IF(TabDH[[#This Row],[R16]]+COUNTIF(TabDH[[R1]:[R19]],TabDH[[#This Row],[R16]])-1&lt;=Sitze_Ausschuss,"SITZ","PATT"),"")</f>
        <v/>
      </c>
      <c r="EN9" s="45" t="str">
        <f>IF(TabDH[[#This Row],[R17]]&lt;=Sitze_Ausschuss,IF(TabDH[[#This Row],[R17]]+COUNTIF(TabDH[[R1]:[R19]],TabDH[[#This Row],[R17]])-1&lt;=Sitze_Ausschuss,"SITZ","PATT"),"")</f>
        <v/>
      </c>
      <c r="EO9" s="45" t="str">
        <f>IF(TabDH[[#This Row],[R18]]&lt;=Sitze_Ausschuss,IF(TabDH[[#This Row],[R18]]+COUNTIF(TabDH[[R1]:[R19]],TabDH[[#This Row],[R18]])-1&lt;=Sitze_Ausschuss,"SITZ","PATT"),"")</f>
        <v/>
      </c>
      <c r="EP9" s="45" t="str">
        <f>IF(TabDH[[#This Row],[R19]]&lt;=Sitze_Ausschuss,IF(TabDH[[#This Row],[R19]]+COUNTIF(TabDH[[R1]:[R19]],TabDH[[#This Row],[R19]])-1&lt;=Sitze_Ausschuss,"SITZ","PATT"),"")</f>
        <v/>
      </c>
      <c r="EQ9" s="47" t="b">
        <f>COUNTIF(TabDH[[#This Row],[SP1]:[SP19]],"PATT")&gt;0</f>
        <v>0</v>
      </c>
      <c r="ER9" s="33">
        <f>IF(TabDH[[#This Row],[Patt]],(Sitze_Ausschuss-SUM(TabDH[Sitze]))/TabDH[[#Totals],[Patt]],0)</f>
        <v>0</v>
      </c>
      <c r="ES9" s="48">
        <f>TabDH[[#This Row],[Patt]]*IF(Pattaufloesung="Stimmen",TabPatt[[#This Row],[Stimmen]],0)*1</f>
        <v>0</v>
      </c>
      <c r="ET9" s="49" t="b">
        <f>_xlfn.RANK.EQ(TabDH[[#This Row],[Stimmen/Gelost]],TabDH[Stimmen/Gelost],0)&lt;=(Sitze_Ausschuss-SUM(TabDH[Sitze]))</f>
        <v>0</v>
      </c>
      <c r="EU9" s="50" t="b">
        <f>OR(TabDH[[#This Row],[Sitze]]&lt;ROUNDDOWN(Grunddaten[[#This Row],[Proporzgenaue Zahl Ausschuss]],0),TabDH[[#This Row],[Sitze]]+(TabDH[[#This Row],[Patt]]*1)&gt;ROUNDUP(Grunddaten[[#This Row],[Proporzgenaue Zahl Ausschuss]],0))</f>
        <v>0</v>
      </c>
      <c r="EV9" s="3"/>
      <c r="EW9" s="51" t="str">
        <f>Grunddaten[[#This Row],[Partei/Wählergruppe]]&amp;""</f>
        <v>FREIE WÄHLER</v>
      </c>
      <c r="EX9" s="71">
        <v>4321</v>
      </c>
      <c r="EY9" s="3"/>
      <c r="EZ9">
        <f>IF(AND(Grunddaten[[#This Row],[Sitze im Hauptorgan]]&gt;0,ISBLANK(Grunddaten[[#This Row],[AG?]])),ROW())</f>
        <v>9</v>
      </c>
      <c r="FA9">
        <f t="shared" si="1"/>
        <v>3</v>
      </c>
      <c r="FB9" t="str">
        <f>Grunddaten[[#This Row],[Partei/Wählergruppe]]</f>
        <v>FREIE WÄHLER</v>
      </c>
      <c r="FC9">
        <f>Grunddaten[[#This Row],[Sitze im Hauptorgan]]</f>
        <v>10</v>
      </c>
      <c r="FD9">
        <f>TabPatt[[#This Row],[Stimmen]]</f>
        <v>4321</v>
      </c>
      <c r="FE9" t="str">
        <f>IF(Grunddaten[[#This Row],[AG?]]=FE$6,MID(Grunddaten[[#This Row],[Partei/Wählergruppe]],1,3),"")</f>
        <v/>
      </c>
      <c r="FF9" t="str">
        <f>IF(Grunddaten[[#This Row],[AG?]]=FF$6,MID(Grunddaten[[#This Row],[Partei/Wählergruppe]],1,3),"")</f>
        <v/>
      </c>
      <c r="FG9" t="str">
        <f>IF(Grunddaten[[#This Row],[AG?]]=FG$6,MID(Grunddaten[[#This Row],[Partei/Wählergruppe]],1,3),"")</f>
        <v/>
      </c>
      <c r="FH9" t="str">
        <f>IF(Grunddaten[[#This Row],[AG?]]=FH$6,MID(Grunddaten[[#This Row],[Partei/Wählergruppe]],1,3),"")</f>
        <v/>
      </c>
      <c r="FI9" s="154">
        <f>TabHN[[#This Row],[Sitze]]+TabHN[[#This Row],[Patt Auflösung]]</f>
        <v>2</v>
      </c>
      <c r="FJ9" s="154">
        <f>TabSLS[[#This Row],[Sitze]]+TabSLS[[#This Row],[Patt Auflösung]]</f>
        <v>2</v>
      </c>
      <c r="FK9" s="154">
        <f>TabDH[[#This Row],[Sitze]]+TabDH[[#This Row],[Patt Auflösung]]</f>
        <v>2</v>
      </c>
      <c r="FL9" s="154">
        <f t="shared" si="2"/>
        <v>2</v>
      </c>
      <c r="FM9" s="154">
        <f t="shared" si="3"/>
        <v>2</v>
      </c>
      <c r="FN9" t="str">
        <f t="shared" si="4"/>
        <v>SITZ!</v>
      </c>
    </row>
    <row r="10" spans="1:176" x14ac:dyDescent="0.25">
      <c r="A10" s="3"/>
      <c r="B10" s="56" t="s">
        <v>4</v>
      </c>
      <c r="C10" s="71">
        <v>8</v>
      </c>
      <c r="D10" s="71"/>
      <c r="E10" s="93">
        <f>Grunddaten[[#This Row],[Sitze im Hauptorgan]]/Grunddaten[[#Totals],[Sitze im Hauptorgan]]*Sitze_Ausschuss</f>
        <v>1.5999999999999999</v>
      </c>
      <c r="F10" s="110" t="b">
        <f>OR(Grunddaten[[#This Row],[Proporzgenaue Zahl Ausschuss]]&gt;=1,Grunddaten[[#This Row],[Sitze im Hauptorgan]]&gt;Sitze_Hauptorgan/(1+Sitze_Ausschuss))</f>
        <v>1</v>
      </c>
      <c r="G10" s="159" t="str">
        <f>IF(ROUNDDOWN(Grunddaten[[#This Row],[Proporzgenaue Zahl Ausschuss]],0)&lt;&gt;ROUNDUP(Grunddaten[[#This Row],[Proporzgenaue Zahl Ausschuss]],0), ROUNDDOWN(Grunddaten[[#This Row],[Proporzgenaue Zahl Ausschuss]],0)&amp;" oder "&amp;ROUNDUP(Grunddaten[[#This Row],[Proporzgenaue Zahl Ausschuss]],0),ROUND(Grunddaten[[#This Row],[Proporzgenaue Zahl Ausschuss]],0))</f>
        <v>1 oder 2</v>
      </c>
      <c r="H10" s="52" t="str">
        <f t="shared" si="0"/>
        <v>OK</v>
      </c>
      <c r="I10" s="52" t="str">
        <f>IF(TabSLS[[#This Row],[QK verletzt]],"NOK","OK")</f>
        <v>OK</v>
      </c>
      <c r="J10" s="53" t="str">
        <f>IF(TabDH[[#This Row],[QK verletzt]],"NOK","OK")</f>
        <v>OK</v>
      </c>
      <c r="K10" s="3"/>
      <c r="L10" s="92">
        <f>TabHN[[#This Row],[S ganz]]+IF(NOT(TabHN[[#This Row],[Patt]]),TabHN[[#This Row],[Restsitz]],0)</f>
        <v>2</v>
      </c>
      <c r="M10" s="29">
        <f>IF(TabHN[[#This Row],[Patt]],IF(Pattaufloesung="Los-Chance",TabHN[[#This Row],[Los Chance]],TabHN[[#This Row],[Pattgewinn]]+0),0)</f>
        <v>0</v>
      </c>
      <c r="N10" s="30">
        <f>INT(Grunddaten[[#This Row],[Proporzgenaue Zahl Ausschuss]])</f>
        <v>1</v>
      </c>
      <c r="O10" s="31">
        <f>ROUND(Grunddaten[[#This Row],[Proporzgenaue Zahl Ausschuss]]-TabHN[[#This Row],[S ganz]],4)</f>
        <v>0.6</v>
      </c>
      <c r="P10" s="32">
        <f>_xlfn.RANK.EQ(TabHN[[#This Row],[S Rest]],TabHN[S Rest],0)</f>
        <v>2</v>
      </c>
      <c r="Q10" s="30">
        <f>IF(TabHN[[#This Row],[Rng Rest]]&lt;=TabHN[[#Totals],[S Rest]],1,0)</f>
        <v>1</v>
      </c>
      <c r="R10" s="30" t="b">
        <f>AND(TabHN[[#This Row],[Restsitz]]=1,(COUNTIF(TabHN[Rng Rest],TabHN[[#This Row],[Rng Rest]])+TabHN[[#This Row],[Rng Rest]]-1)&gt;TabHN[[#Totals],[S Rest]])</f>
        <v>0</v>
      </c>
      <c r="S10" s="33">
        <f>IF(TabHN[[#This Row],[Patt]],(Sitze_Ausschuss-SUM(TabHN[Sitze]))/TabHN[[#Totals],[Patt]],0)</f>
        <v>0</v>
      </c>
      <c r="T10" s="34">
        <f>TabHN[[#This Row],[Patt]]*IF(Pattaufloesung="Stimmen",TabPatt[[#This Row],[Stimmen]],0)*1</f>
        <v>0</v>
      </c>
      <c r="U10" s="35" t="b">
        <f>_xlfn.RANK.EQ(TabHN[[#This Row],[Stimmen/Gelost]],TabHN[Stimmen/Gelost],0)&lt;=(Sitze_Ausschuss-SUM(TabHN[Sitze]))</f>
        <v>1</v>
      </c>
      <c r="V10" s="3"/>
      <c r="W10" s="36">
        <f>COUNTIF(TabSLS[[#This Row],[SP1]:[SP37]],"SITZ")</f>
        <v>2</v>
      </c>
      <c r="X10" s="37">
        <f>IF(TabSLS[[#This Row],[Patt?]],IF(Pattaufloesung="Los-Chance",TabSLS[[#This Row],[Los Chance]],TabSLS[[#This Row],[Pattgewinn]]+0),0)</f>
        <v>0</v>
      </c>
      <c r="Y10" s="38">
        <f>Grunddaten[[#This Row],[Sitze im Hauptorgan]]/_xlfn.NUMBERVALUE(MID(INDEX(TabSLS[[#Headers],[:1]:[:37]],COLUMN()-COLUMN(TabSLS[[#Headers],[:1]])+1),2,3))</f>
        <v>8</v>
      </c>
      <c r="Z10" s="39">
        <f>Grunddaten[[#This Row],[Sitze im Hauptorgan]]/_xlfn.NUMBERVALUE(MID(INDEX(TabSLS[[#Headers],[:1]:[:37]],COLUMN()-COLUMN(TabSLS[[#Headers],[:1]])+1),2,3))</f>
        <v>2.6666666666666665</v>
      </c>
      <c r="AA10" s="39">
        <f>Grunddaten[[#This Row],[Sitze im Hauptorgan]]/_xlfn.NUMBERVALUE(MID(INDEX(TabSLS[[#Headers],[:1]:[:37]],COLUMN()-COLUMN(TabSLS[[#Headers],[:1]])+1),2,3))</f>
        <v>1.6</v>
      </c>
      <c r="AB10" s="39">
        <f>Grunddaten[[#This Row],[Sitze im Hauptorgan]]/_xlfn.NUMBERVALUE(MID(INDEX(TabSLS[[#Headers],[:1]:[:37]],COLUMN()-COLUMN(TabSLS[[#Headers],[:1]])+1),2,3))</f>
        <v>1.1428571428571428</v>
      </c>
      <c r="AC10" s="39">
        <f>Grunddaten[[#This Row],[Sitze im Hauptorgan]]/_xlfn.NUMBERVALUE(MID(INDEX(TabSLS[[#Headers],[:1]:[:37]],COLUMN()-COLUMN(TabSLS[[#Headers],[:1]])+1),2,3))</f>
        <v>0.88888888888888884</v>
      </c>
      <c r="AD10" s="39">
        <f>Grunddaten[[#This Row],[Sitze im Hauptorgan]]/_xlfn.NUMBERVALUE(MID(INDEX(TabSLS[[#Headers],[:1]:[:37]],COLUMN()-COLUMN(TabSLS[[#Headers],[:1]])+1),2,3))</f>
        <v>0.72727272727272729</v>
      </c>
      <c r="AE10" s="39">
        <f>Grunddaten[[#This Row],[Sitze im Hauptorgan]]/_xlfn.NUMBERVALUE(MID(INDEX(TabSLS[[#Headers],[:1]:[:37]],COLUMN()-COLUMN(TabSLS[[#Headers],[:1]])+1),2,3))</f>
        <v>0.61538461538461542</v>
      </c>
      <c r="AF10" s="39">
        <f>Grunddaten[[#This Row],[Sitze im Hauptorgan]]/_xlfn.NUMBERVALUE(MID(INDEX(TabSLS[[#Headers],[:1]:[:37]],COLUMN()-COLUMN(TabSLS[[#Headers],[:1]])+1),2,3))</f>
        <v>0.53333333333333333</v>
      </c>
      <c r="AG10" s="39">
        <f>Grunddaten[[#This Row],[Sitze im Hauptorgan]]/_xlfn.NUMBERVALUE(MID(INDEX(TabSLS[[#Headers],[:1]:[:37]],COLUMN()-COLUMN(TabSLS[[#Headers],[:1]])+1),2,3))</f>
        <v>0.47058823529411764</v>
      </c>
      <c r="AH10" s="39">
        <f>Grunddaten[[#This Row],[Sitze im Hauptorgan]]/_xlfn.NUMBERVALUE(MID(INDEX(TabSLS[[#Headers],[:1]:[:37]],COLUMN()-COLUMN(TabSLS[[#Headers],[:1]])+1),2,3))</f>
        <v>0.42105263157894735</v>
      </c>
      <c r="AI10" s="39">
        <f>Grunddaten[[#This Row],[Sitze im Hauptorgan]]/_xlfn.NUMBERVALUE(MID(INDEX(TabSLS[[#Headers],[:1]:[:37]],COLUMN()-COLUMN(TabSLS[[#Headers],[:1]])+1),2,3))</f>
        <v>0.38095238095238093</v>
      </c>
      <c r="AJ10" s="39">
        <f>Grunddaten[[#This Row],[Sitze im Hauptorgan]]/_xlfn.NUMBERVALUE(MID(INDEX(TabSLS[[#Headers],[:1]:[:37]],COLUMN()-COLUMN(TabSLS[[#Headers],[:1]])+1),2,3))</f>
        <v>0.34782608695652173</v>
      </c>
      <c r="AK10" s="39">
        <f>Grunddaten[[#This Row],[Sitze im Hauptorgan]]/_xlfn.NUMBERVALUE(MID(INDEX(TabSLS[[#Headers],[:1]:[:37]],COLUMN()-COLUMN(TabSLS[[#Headers],[:1]])+1),2,3))</f>
        <v>0.32</v>
      </c>
      <c r="AL10" s="39">
        <f>Grunddaten[[#This Row],[Sitze im Hauptorgan]]/_xlfn.NUMBERVALUE(MID(INDEX(TabSLS[[#Headers],[:1]:[:37]],COLUMN()-COLUMN(TabSLS[[#Headers],[:1]])+1),2,3))</f>
        <v>0.29629629629629628</v>
      </c>
      <c r="AM10" s="39">
        <f>Grunddaten[[#This Row],[Sitze im Hauptorgan]]/_xlfn.NUMBERVALUE(MID(INDEX(TabSLS[[#Headers],[:1]:[:37]],COLUMN()-COLUMN(TabSLS[[#Headers],[:1]])+1),2,3))</f>
        <v>0.27586206896551724</v>
      </c>
      <c r="AN10" s="39">
        <f>Grunddaten[[#This Row],[Sitze im Hauptorgan]]/_xlfn.NUMBERVALUE(MID(INDEX(TabSLS[[#Headers],[:1]:[:37]],COLUMN()-COLUMN(TabSLS[[#Headers],[:1]])+1),2,3))</f>
        <v>0.25806451612903225</v>
      </c>
      <c r="AO10" s="39">
        <f>Grunddaten[[#This Row],[Sitze im Hauptorgan]]/_xlfn.NUMBERVALUE(MID(INDEX(TabSLS[[#Headers],[:1]:[:37]],COLUMN()-COLUMN(TabSLS[[#Headers],[:1]])+1),2,3))</f>
        <v>0.24242424242424243</v>
      </c>
      <c r="AP10" s="39">
        <f>Grunddaten[[#This Row],[Sitze im Hauptorgan]]/_xlfn.NUMBERVALUE(MID(INDEX(TabSLS[[#Headers],[:1]:[:37]],COLUMN()-COLUMN(TabSLS[[#Headers],[:1]])+1),2,3))</f>
        <v>0.22857142857142856</v>
      </c>
      <c r="AQ10" s="40">
        <f>Grunddaten[[#This Row],[Sitze im Hauptorgan]]/_xlfn.NUMBERVALUE(MID(INDEX(TabSLS[[#Headers],[:1]:[:37]],COLUMN()-COLUMN(TabSLS[[#Headers],[:1]])+1),2,3))</f>
        <v>0.21621621621621623</v>
      </c>
      <c r="AR10" s="41">
        <f>_xlfn.RANK.EQ(TabSLS[[#This Row],[:1]],TabSLS[[:1]:[:37]],0)</f>
        <v>4</v>
      </c>
      <c r="AS10" s="42">
        <f>_xlfn.RANK.EQ(TabSLS[[#This Row],[:3]],TabSLS[[:1]:[:37]],0)</f>
        <v>13</v>
      </c>
      <c r="AT10" s="42">
        <f>_xlfn.RANK.EQ(TabSLS[[#This Row],[:5]],TabSLS[[:1]:[:37]],0)</f>
        <v>23</v>
      </c>
      <c r="AU10" s="42">
        <f>_xlfn.RANK.EQ(TabSLS[[#This Row],[:7]],TabSLS[[:1]:[:37]],0)</f>
        <v>31</v>
      </c>
      <c r="AV10" s="42">
        <f>_xlfn.RANK.EQ(TabSLS[[#This Row],[:9]],TabSLS[[:1]:[:37]],0)</f>
        <v>40</v>
      </c>
      <c r="AW10" s="42">
        <f>_xlfn.RANK.EQ(TabSLS[[#This Row],[:11]],TabSLS[[:1]:[:37]],0)</f>
        <v>48</v>
      </c>
      <c r="AX10" s="42">
        <f>_xlfn.RANK.EQ(TabSLS[[#This Row],[:13]],TabSLS[[:1]:[:37]],0)</f>
        <v>58</v>
      </c>
      <c r="AY10" s="42">
        <f>_xlfn.RANK.EQ(TabSLS[[#This Row],[:15]],TabSLS[[:1]:[:37]],0)</f>
        <v>67</v>
      </c>
      <c r="AZ10" s="42">
        <f>_xlfn.RANK.EQ(TabSLS[[#This Row],[:17]],TabSLS[[:1]:[:37]],0)</f>
        <v>72</v>
      </c>
      <c r="BA10" s="42">
        <f>_xlfn.RANK.EQ(TabSLS[[#This Row],[:19]],TabSLS[[:1]:[:37]],0)</f>
        <v>78</v>
      </c>
      <c r="BB10" s="42">
        <f>_xlfn.RANK.EQ(TabSLS[[#This Row],[:21]],TabSLS[[:1]:[:37]],0)</f>
        <v>84</v>
      </c>
      <c r="BC10" s="42">
        <f>_xlfn.RANK.EQ(TabSLS[[#This Row],[:23]],TabSLS[[:1]:[:37]],0)</f>
        <v>87</v>
      </c>
      <c r="BD10" s="42">
        <f>_xlfn.RANK.EQ(TabSLS[[#This Row],[:25]],TabSLS[[:1]:[:37]],0)</f>
        <v>92</v>
      </c>
      <c r="BE10" s="42">
        <f>_xlfn.RANK.EQ(TabSLS[[#This Row],[:27]],TabSLS[[:1]:[:37]],0)</f>
        <v>95</v>
      </c>
      <c r="BF10" s="42">
        <f>_xlfn.RANK.EQ(TabSLS[[#This Row],[:29]],TabSLS[[:1]:[:37]],0)</f>
        <v>101</v>
      </c>
      <c r="BG10" s="42">
        <f>_xlfn.RANK.EQ(TabSLS[[#This Row],[:31]],TabSLS[[:1]:[:37]],0)</f>
        <v>105</v>
      </c>
      <c r="BH10" s="42">
        <f>_xlfn.RANK.EQ(TabSLS[[#This Row],[:33]],TabSLS[[:1]:[:37]],0)</f>
        <v>106</v>
      </c>
      <c r="BI10" s="42">
        <f>_xlfn.RANK.EQ(TabSLS[[#This Row],[:35]],TabSLS[[:1]:[:37]],0)</f>
        <v>109</v>
      </c>
      <c r="BJ10" s="43">
        <f>_xlfn.RANK.EQ(TabSLS[[#This Row],[:37]],TabSLS[[:1]:[:37]],0)</f>
        <v>114</v>
      </c>
      <c r="BK10" s="44" t="str">
        <f>IF(TabSLS[[#This Row],[R1]]&lt;=Sitze_Ausschuss,IF(TabSLS[[#This Row],[R1]]+COUNTIF(TabSLS[[R1]:[R37]],TabSLS[[#This Row],[R1]])-1&lt;=Sitze_Ausschuss,"SITZ","PATT"),"")</f>
        <v>SITZ</v>
      </c>
      <c r="BL10" s="45" t="str">
        <f>IF(TabSLS[[#This Row],[R3]]&lt;=Sitze_Ausschuss,IF(TabSLS[[#This Row],[R3]]+COUNTIF(TabSLS[[R1]:[R37]],TabSLS[[#This Row],[R3]])-1&lt;=Sitze_Ausschuss,"SITZ","PATT"),"")</f>
        <v>SITZ</v>
      </c>
      <c r="BM10" s="45" t="str">
        <f>IF(TabSLS[[#This Row],[R5]]&lt;=Sitze_Ausschuss,IF(TabSLS[[#This Row],[R5]]+COUNTIF(TabSLS[[R1]:[R37]],TabSLS[[#This Row],[R5]])-1&lt;=Sitze_Ausschuss,"SITZ","PATT"),"")</f>
        <v/>
      </c>
      <c r="BN10" s="45" t="str">
        <f>IF(TabSLS[[#This Row],[R7]]&lt;=Sitze_Ausschuss,IF(TabSLS[[#This Row],[R7]]+COUNTIF(TabSLS[[R1]:[R37]],TabSLS[[#This Row],[R7]])-1&lt;=Sitze_Ausschuss,"SITZ","PATT"),"")</f>
        <v/>
      </c>
      <c r="BO10" s="45" t="str">
        <f>IF(TabSLS[[#This Row],[R9]]&lt;=Sitze_Ausschuss,IF(TabSLS[[#This Row],[R9]]+COUNTIF(TabSLS[[R1]:[R37]],TabSLS[[#This Row],[R9]])-1&lt;=Sitze_Ausschuss,"SITZ","PATT"),"")</f>
        <v/>
      </c>
      <c r="BP10" s="45" t="str">
        <f>IF(TabSLS[[#This Row],[R11]]&lt;=Sitze_Ausschuss,IF(TabSLS[[#This Row],[R11]]+COUNTIF(TabSLS[[R1]:[R37]],TabSLS[[#This Row],[R11]])-1&lt;=Sitze_Ausschuss,"SITZ","PATT"),"")</f>
        <v/>
      </c>
      <c r="BQ10" s="45" t="str">
        <f>IF(TabSLS[[#This Row],[R13]]&lt;=Sitze_Ausschuss,IF(TabSLS[[#This Row],[R13]]+COUNTIF(TabSLS[[R1]:[R37]],TabSLS[[#This Row],[R13]])-1&lt;=Sitze_Ausschuss,"SITZ","PATT"),"")</f>
        <v/>
      </c>
      <c r="BR10" s="45" t="str">
        <f>IF(TabSLS[[#This Row],[R15]]&lt;=Sitze_Ausschuss,IF(TabSLS[[#This Row],[R15]]+COUNTIF(TabSLS[[R1]:[R37]],TabSLS[[#This Row],[R15]])-1&lt;=Sitze_Ausschuss,"SITZ","PATT"),"")</f>
        <v/>
      </c>
      <c r="BS10" s="45" t="str">
        <f>IF(TabSLS[[#This Row],[R17]]&lt;=Sitze_Ausschuss,IF(TabSLS[[#This Row],[R17]]+COUNTIF(TabSLS[[R1]:[R37]],TabSLS[[#This Row],[R17]])-1&lt;=Sitze_Ausschuss,"SITZ","PATT"),"")</f>
        <v/>
      </c>
      <c r="BT10" s="45" t="str">
        <f>IF(TabSLS[[#This Row],[R19]]&lt;=Sitze_Ausschuss,IF(TabSLS[[#This Row],[R19]]+COUNTIF(TabSLS[[R1]:[R37]],TabSLS[[#This Row],[R19]])-1&lt;=Sitze_Ausschuss,"SITZ","PATT"),"")</f>
        <v/>
      </c>
      <c r="BU10" s="45" t="str">
        <f>IF(TabSLS[[#This Row],[R21]]&lt;=Sitze_Ausschuss,IF(TabSLS[[#This Row],[R21]]+COUNTIF(TabSLS[[R1]:[R37]],TabSLS[[#This Row],[R21]])-1&lt;=Sitze_Ausschuss,"SITZ","PATT"),"")</f>
        <v/>
      </c>
      <c r="BV10" s="45" t="str">
        <f>IF(TabSLS[[#This Row],[R23]]&lt;=Sitze_Ausschuss,IF(TabSLS[[#This Row],[R23]]+COUNTIF(TabSLS[[R1]:[R37]],TabSLS[[#This Row],[R23]])-1&lt;=Sitze_Ausschuss,"SITZ","PATT"),"")</f>
        <v/>
      </c>
      <c r="BW10" s="45" t="str">
        <f>IF(TabSLS[[#This Row],[R25]]&lt;=Sitze_Ausschuss,IF(TabSLS[[#This Row],[R25]]+COUNTIF(TabSLS[[R1]:[R37]],TabSLS[[#This Row],[R25]])-1&lt;=Sitze_Ausschuss,"SITZ","PATT"),"")</f>
        <v/>
      </c>
      <c r="BX10" s="45" t="str">
        <f>IF(TabSLS[[#This Row],[R27]]&lt;=Sitze_Ausschuss,IF(TabSLS[[#This Row],[R27]]+COUNTIF(TabSLS[[R1]:[R37]],TabSLS[[#This Row],[R27]])-1&lt;=Sitze_Ausschuss,"SITZ","PATT"),"")</f>
        <v/>
      </c>
      <c r="BY10" s="45" t="str">
        <f>IF(TabSLS[[#This Row],[R29]]&lt;=Sitze_Ausschuss,IF(TabSLS[[#This Row],[R29]]+COUNTIF(TabSLS[[R1]:[R37]],TabSLS[[#This Row],[R29]])-1&lt;=Sitze_Ausschuss,"SITZ","PATT"),"")</f>
        <v/>
      </c>
      <c r="BZ10" s="45" t="str">
        <f>IF(TabSLS[[#This Row],[R31]]&lt;=Sitze_Ausschuss,IF(TabSLS[[#This Row],[R31]]+COUNTIF(TabSLS[[R1]:[R37]],TabSLS[[#This Row],[R31]])-1&lt;=Sitze_Ausschuss,"SITZ","PATT"),"")</f>
        <v/>
      </c>
      <c r="CA10" s="45" t="str">
        <f>IF(TabSLS[[#This Row],[R33]]&lt;=Sitze_Ausschuss,IF(TabSLS[[#This Row],[R33]]+COUNTIF(TabSLS[[R1]:[R37]],TabSLS[[#This Row],[R33]])-1&lt;=Sitze_Ausschuss,"SITZ","PATT"),"")</f>
        <v/>
      </c>
      <c r="CB10" s="45" t="str">
        <f>IF(TabSLS[[#This Row],[R35]]&lt;=Sitze_Ausschuss,IF(TabSLS[[#This Row],[R35]]+COUNTIF(TabSLS[[R1]:[R37]],TabSLS[[#This Row],[R35]])-1&lt;=Sitze_Ausschuss,"SITZ","PATT"),"")</f>
        <v/>
      </c>
      <c r="CC10" s="46" t="str">
        <f>IF(TabSLS[[#This Row],[R37]]&lt;=Sitze_Ausschuss,IF(TabSLS[[#This Row],[R37]]+COUNTIF(TabSLS[[R1]:[R37]],TabSLS[[#This Row],[R37]])-1&lt;=Sitze_Ausschuss,"SITZ","PATT"),"")</f>
        <v/>
      </c>
      <c r="CD10" s="47" t="b">
        <f>COUNTIF(TabSLS[[#This Row],[SP1]:[SP37]],"PATT")&gt;0</f>
        <v>0</v>
      </c>
      <c r="CE10" s="33">
        <f>IF(TabSLS[[#This Row],[Patt?]],(Sitze_Ausschuss-SUM(TabSLS[Sitze]))/TabSLS[[#Totals],[Patt?]],0)</f>
        <v>0</v>
      </c>
      <c r="CF10" s="48">
        <f>TabSLS[[#This Row],[Patt?]]*IF(Pattaufloesung="Stimmen",TabPatt[[#This Row],[Stimmen]],0)*1</f>
        <v>0</v>
      </c>
      <c r="CG10" s="49" t="b">
        <f>_xlfn.RANK.EQ(TabSLS[[#This Row],[Stimmen Gelost]],TabSLS[Stimmen Gelost],0)&lt;=(Sitze_Ausschuss-SUM(TabSLS[Sitze]))</f>
        <v>0</v>
      </c>
      <c r="CH10" s="50" t="b">
        <f>OR(TabSLS[[#This Row],[Sitze]]&lt;ROUNDDOWN(Grunddaten[[#This Row],[Proporzgenaue Zahl Ausschuss]],0),TabSLS[[#This Row],[Sitze]]+(TabSLS[[#This Row],[Patt?]]*1)&gt;ROUNDUP(Grunddaten[[#This Row],[Proporzgenaue Zahl Ausschuss]],0))</f>
        <v>0</v>
      </c>
      <c r="CI10" s="3"/>
      <c r="CJ10" s="36">
        <f>COUNTIF(TabDH[[#This Row],[SP1]:[SP19]],"SITZ")</f>
        <v>2</v>
      </c>
      <c r="CK10" s="37">
        <f>IF(TabDH[[#This Row],[Patt]],IF(Pattaufloesung="Los-Chance",TabDH[[#This Row],[Los Chance]],TabDH[[#This Row],[Pattgewinn]]+0),0)</f>
        <v>0</v>
      </c>
      <c r="CL10" s="38">
        <f>Grunddaten[[#This Row],[Sitze im Hauptorgan]]/_xlfn.NUMBERVALUE(MID(INDEX(TabDH[[#Headers],[:1]:[:19]],COLUMN()-COLUMN(TabDH[[#Headers],[:1]])+1),2,3))</f>
        <v>8</v>
      </c>
      <c r="CM10" s="39">
        <f>Grunddaten[[#This Row],[Sitze im Hauptorgan]]/_xlfn.NUMBERVALUE(MID(INDEX(TabDH[[#Headers],[:1]:[:19]],COLUMN()-COLUMN(TabDH[[#Headers],[:1]])+1),2,3))</f>
        <v>4</v>
      </c>
      <c r="CN10" s="39">
        <f>Grunddaten[[#This Row],[Sitze im Hauptorgan]]/_xlfn.NUMBERVALUE(MID(INDEX(TabDH[[#Headers],[:1]:[:19]],COLUMN()-COLUMN(TabDH[[#Headers],[:1]])+1),2,3))</f>
        <v>2.6666666666666665</v>
      </c>
      <c r="CO10" s="39">
        <f>Grunddaten[[#This Row],[Sitze im Hauptorgan]]/_xlfn.NUMBERVALUE(MID(INDEX(TabDH[[#Headers],[:1]:[:19]],COLUMN()-COLUMN(TabDH[[#Headers],[:1]])+1),2,3))</f>
        <v>2</v>
      </c>
      <c r="CP10" s="39">
        <f>Grunddaten[[#This Row],[Sitze im Hauptorgan]]/_xlfn.NUMBERVALUE(MID(INDEX(TabDH[[#Headers],[:1]:[:19]],COLUMN()-COLUMN(TabDH[[#Headers],[:1]])+1),2,3))</f>
        <v>1.6</v>
      </c>
      <c r="CQ10" s="39">
        <f>Grunddaten[[#This Row],[Sitze im Hauptorgan]]/_xlfn.NUMBERVALUE(MID(INDEX(TabDH[[#Headers],[:1]:[:19]],COLUMN()-COLUMN(TabDH[[#Headers],[:1]])+1),2,3))</f>
        <v>1.3333333333333333</v>
      </c>
      <c r="CR10" s="39">
        <f>Grunddaten[[#This Row],[Sitze im Hauptorgan]]/_xlfn.NUMBERVALUE(MID(INDEX(TabDH[[#Headers],[:1]:[:19]],COLUMN()-COLUMN(TabDH[[#Headers],[:1]])+1),2,3))</f>
        <v>1.1428571428571428</v>
      </c>
      <c r="CS10" s="39">
        <f>Grunddaten[[#This Row],[Sitze im Hauptorgan]]/_xlfn.NUMBERVALUE(MID(INDEX(TabDH[[#Headers],[:1]:[:19]],COLUMN()-COLUMN(TabDH[[#Headers],[:1]])+1),2,3))</f>
        <v>1</v>
      </c>
      <c r="CT10" s="39">
        <f>Grunddaten[[#This Row],[Sitze im Hauptorgan]]/_xlfn.NUMBERVALUE(MID(INDEX(TabDH[[#Headers],[:1]:[:19]],COLUMN()-COLUMN(TabDH[[#Headers],[:1]])+1),2,3))</f>
        <v>0.88888888888888884</v>
      </c>
      <c r="CU10" s="39">
        <f>Grunddaten[[#This Row],[Sitze im Hauptorgan]]/_xlfn.NUMBERVALUE(MID(INDEX(TabDH[[#Headers],[:1]:[:19]],COLUMN()-COLUMN(TabDH[[#Headers],[:1]])+1),2,3))</f>
        <v>0.8</v>
      </c>
      <c r="CV10" s="39">
        <f>Grunddaten[[#This Row],[Sitze im Hauptorgan]]/_xlfn.NUMBERVALUE(MID(INDEX(TabDH[[#Headers],[:1]:[:19]],COLUMN()-COLUMN(TabDH[[#Headers],[:1]])+1),2,3))</f>
        <v>0.72727272727272729</v>
      </c>
      <c r="CW10" s="39">
        <f>Grunddaten[[#This Row],[Sitze im Hauptorgan]]/_xlfn.NUMBERVALUE(MID(INDEX(TabDH[[#Headers],[:1]:[:19]],COLUMN()-COLUMN(TabDH[[#Headers],[:1]])+1),2,3))</f>
        <v>0.66666666666666663</v>
      </c>
      <c r="CX10" s="39">
        <f>Grunddaten[[#This Row],[Sitze im Hauptorgan]]/_xlfn.NUMBERVALUE(MID(INDEX(TabDH[[#Headers],[:1]:[:19]],COLUMN()-COLUMN(TabDH[[#Headers],[:1]])+1),2,3))</f>
        <v>0.61538461538461542</v>
      </c>
      <c r="CY10" s="39">
        <f>Grunddaten[[#This Row],[Sitze im Hauptorgan]]/_xlfn.NUMBERVALUE(MID(INDEX(TabDH[[#Headers],[:1]:[:19]],COLUMN()-COLUMN(TabDH[[#Headers],[:1]])+1),2,3))</f>
        <v>0.5714285714285714</v>
      </c>
      <c r="CZ10" s="39">
        <f>Grunddaten[[#This Row],[Sitze im Hauptorgan]]/_xlfn.NUMBERVALUE(MID(INDEX(TabDH[[#Headers],[:1]:[:19]],COLUMN()-COLUMN(TabDH[[#Headers],[:1]])+1),2,3))</f>
        <v>0.53333333333333333</v>
      </c>
      <c r="DA10" s="39">
        <f>Grunddaten[[#This Row],[Sitze im Hauptorgan]]/_xlfn.NUMBERVALUE(MID(INDEX(TabDH[[#Headers],[:1]:[:19]],COLUMN()-COLUMN(TabDH[[#Headers],[:1]])+1),2,3))</f>
        <v>0.5</v>
      </c>
      <c r="DB10" s="39">
        <f>Grunddaten[[#This Row],[Sitze im Hauptorgan]]/_xlfn.NUMBERVALUE(MID(INDEX(TabDH[[#Headers],[:1]:[:19]],COLUMN()-COLUMN(TabDH[[#Headers],[:1]])+1),2,3))</f>
        <v>0.47058823529411764</v>
      </c>
      <c r="DC10" s="39">
        <f>Grunddaten[[#This Row],[Sitze im Hauptorgan]]/_xlfn.NUMBERVALUE(MID(INDEX(TabDH[[#Headers],[:1]:[:19]],COLUMN()-COLUMN(TabDH[[#Headers],[:1]])+1),2,3))</f>
        <v>0.44444444444444442</v>
      </c>
      <c r="DD10" s="40">
        <f>Grunddaten[[#This Row],[Sitze im Hauptorgan]]/_xlfn.NUMBERVALUE(MID(INDEX(TabDH[[#Headers],[:1]:[:19]],COLUMN()-COLUMN(TabDH[[#Headers],[:1]])+1),2,3))</f>
        <v>0.42105263157894735</v>
      </c>
      <c r="DE10" s="41">
        <f>_xlfn.RANK.EQ(TabDH[[#This Row],[:1]],TabDH[[:1]:[:19]],0)</f>
        <v>5</v>
      </c>
      <c r="DF10" s="42">
        <f>_xlfn.RANK.EQ(TabDH[[#This Row],[:2]],TabDH[[:1]:[:19]],0)</f>
        <v>11</v>
      </c>
      <c r="DG10" s="42">
        <f>_xlfn.RANK.EQ(TabDH[[#This Row],[:3]],TabDH[[:1]:[:19]],0)</f>
        <v>20</v>
      </c>
      <c r="DH10" s="42">
        <f>_xlfn.RANK.EQ(TabDH[[#This Row],[:4]],TabDH[[:1]:[:19]],0)</f>
        <v>26</v>
      </c>
      <c r="DI10" s="42">
        <f>_xlfn.RANK.EQ(TabDH[[#This Row],[:5]],TabDH[[:1]:[:19]],0)</f>
        <v>39</v>
      </c>
      <c r="DJ10" s="42">
        <f>_xlfn.RANK.EQ(TabDH[[#This Row],[:6]],TabDH[[:1]:[:19]],0)</f>
        <v>46</v>
      </c>
      <c r="DK10" s="42">
        <f>_xlfn.RANK.EQ(TabDH[[#This Row],[:7]],TabDH[[:1]:[:19]],0)</f>
        <v>54</v>
      </c>
      <c r="DL10" s="42">
        <f>_xlfn.RANK.EQ(TabDH[[#This Row],[:8]],TabDH[[:1]:[:19]],0)</f>
        <v>60</v>
      </c>
      <c r="DM10" s="42">
        <f>_xlfn.RANK.EQ(TabDH[[#This Row],[:9]],TabDH[[:1]:[:19]],0)</f>
        <v>72</v>
      </c>
      <c r="DN10" s="42">
        <f>_xlfn.RANK.EQ(TabDH[[#This Row],[:10]],TabDH[[:1]:[:19]],0)</f>
        <v>76</v>
      </c>
      <c r="DO10" s="42">
        <f>_xlfn.RANK.EQ(TabDH[[#This Row],[:11]],TabDH[[:1]:[:19]],0)</f>
        <v>80</v>
      </c>
      <c r="DP10" s="42">
        <f>_xlfn.RANK.EQ(TabDH[[#This Row],[:12]],TabDH[[:1]:[:19]],0)</f>
        <v>82</v>
      </c>
      <c r="DQ10" s="42">
        <f>_xlfn.RANK.EQ(TabDH[[#This Row],[:13]],TabDH[[:1]:[:19]],0)</f>
        <v>90</v>
      </c>
      <c r="DR10" s="42">
        <f>_xlfn.RANK.EQ(TabDH[[#This Row],[:14]],TabDH[[:1]:[:19]],0)</f>
        <v>93</v>
      </c>
      <c r="DS10" s="42">
        <f>_xlfn.RANK.EQ(TabDH[[#This Row],[:15]],TabDH[[:1]:[:19]],0)</f>
        <v>96</v>
      </c>
      <c r="DT10" s="42">
        <f>_xlfn.RANK.EQ(TabDH[[#This Row],[:16]],TabDH[[:1]:[:19]],0)</f>
        <v>98</v>
      </c>
      <c r="DU10" s="42">
        <f>_xlfn.RANK.EQ(TabDH[[#This Row],[:17]],TabDH[[:1]:[:19]],0)</f>
        <v>106</v>
      </c>
      <c r="DV10" s="42">
        <f>_xlfn.RANK.EQ(TabDH[[#This Row],[:18]],TabDH[[:1]:[:19]],0)</f>
        <v>107</v>
      </c>
      <c r="DW10" s="43">
        <f>_xlfn.RANK.EQ(TabDH[[#This Row],[:19]],TabDH[[:1]:[:19]],0)</f>
        <v>110</v>
      </c>
      <c r="DX10" s="44" t="str">
        <f>IF(TabDH[[#This Row],[R1]]&lt;=Sitze_Ausschuss,IF(TabDH[[#This Row],[R1]]+COUNTIF(TabDH[[R1]:[R19]],TabDH[[#This Row],[R1]])-1&lt;=Sitze_Ausschuss,"SITZ","PATT"),"")</f>
        <v>SITZ</v>
      </c>
      <c r="DY10" s="45" t="str">
        <f>IF(TabDH[[#This Row],[R2]]&lt;=Sitze_Ausschuss,IF(TabDH[[#This Row],[R2]]+COUNTIF(TabDH[[R1]:[R19]],TabDH[[#This Row],[R2]])-1&lt;=Sitze_Ausschuss,"SITZ","PATT"),"")</f>
        <v>SITZ</v>
      </c>
      <c r="DZ10" s="45" t="str">
        <f>IF(TabDH[[#This Row],[R3]]&lt;=Sitze_Ausschuss,IF(TabDH[[#This Row],[R3]]+COUNTIF(TabDH[[R1]:[R19]],TabDH[[#This Row],[R3]])-1&lt;=Sitze_Ausschuss,"SITZ","PATT"),"")</f>
        <v/>
      </c>
      <c r="EA10" s="45" t="str">
        <f>IF(TabDH[[#This Row],[R4]]&lt;=Sitze_Ausschuss,IF(TabDH[[#This Row],[R4]]+COUNTIF(TabDH[[R1]:[R19]],TabDH[[#This Row],[R4]])-1&lt;=Sitze_Ausschuss,"SITZ","PATT"),"")</f>
        <v/>
      </c>
      <c r="EB10" s="45" t="str">
        <f>IF(TabDH[[#This Row],[R5]]&lt;=Sitze_Ausschuss,IF(TabDH[[#This Row],[R5]]+COUNTIF(TabDH[[R1]:[R19]],TabDH[[#This Row],[R5]])-1&lt;=Sitze_Ausschuss,"SITZ","PATT"),"")</f>
        <v/>
      </c>
      <c r="EC10" s="45" t="str">
        <f>IF(TabDH[[#This Row],[R6]]&lt;=Sitze_Ausschuss,IF(TabDH[[#This Row],[R6]]+COUNTIF(TabDH[[R1]:[R19]],TabDH[[#This Row],[R6]])-1&lt;=Sitze_Ausschuss,"SITZ","PATT"),"")</f>
        <v/>
      </c>
      <c r="ED10" s="45" t="str">
        <f>IF(TabDH[[#This Row],[R7]]&lt;=Sitze_Ausschuss,IF(TabDH[[#This Row],[R7]]+COUNTIF(TabDH[[R1]:[R19]],TabDH[[#This Row],[R7]])-1&lt;=Sitze_Ausschuss,"SITZ","PATT"),"")</f>
        <v/>
      </c>
      <c r="EE10" s="45" t="str">
        <f>IF(TabDH[[#This Row],[R8]]&lt;=Sitze_Ausschuss,IF(TabDH[[#This Row],[R8]]+COUNTIF(TabDH[[R1]:[R19]],TabDH[[#This Row],[R8]])-1&lt;=Sitze_Ausschuss,"SITZ","PATT"),"")</f>
        <v/>
      </c>
      <c r="EF10" s="45" t="str">
        <f>IF(TabDH[[#This Row],[R9]]&lt;=Sitze_Ausschuss,IF(TabDH[[#This Row],[R9]]+COUNTIF(TabDH[[R1]:[R19]],TabDH[[#This Row],[R9]])-1&lt;=Sitze_Ausschuss,"SITZ","PATT"),"")</f>
        <v/>
      </c>
      <c r="EG10" s="45" t="str">
        <f>IF(TabDH[[#This Row],[R10]]&lt;=Sitze_Ausschuss,IF(TabDH[[#This Row],[R10]]+COUNTIF(TabDH[[R1]:[R19]],TabDH[[#This Row],[R10]])-1&lt;=Sitze_Ausschuss,"SITZ","PATT"),"")</f>
        <v/>
      </c>
      <c r="EH10" s="45" t="str">
        <f>IF(TabDH[[#This Row],[R11]]&lt;=Sitze_Ausschuss,IF(TabDH[[#This Row],[R11]]+COUNTIF(TabDH[[R1]:[R19]],TabDH[[#This Row],[R11]])-1&lt;=Sitze_Ausschuss,"SITZ","PATT"),"")</f>
        <v/>
      </c>
      <c r="EI10" s="45" t="str">
        <f>IF(TabDH[[#This Row],[R12]]&lt;=Sitze_Ausschuss,IF(TabDH[[#This Row],[R12]]+COUNTIF(TabDH[[R1]:[R19]],TabDH[[#This Row],[R12]])-1&lt;=Sitze_Ausschuss,"SITZ","PATT"),"")</f>
        <v/>
      </c>
      <c r="EJ10" s="45" t="str">
        <f>IF(TabDH[[#This Row],[R13]]&lt;=Sitze_Ausschuss,IF(TabDH[[#This Row],[R13]]+COUNTIF(TabDH[[R1]:[R19]],TabDH[[#This Row],[R13]])-1&lt;=Sitze_Ausschuss,"SITZ","PATT"),"")</f>
        <v/>
      </c>
      <c r="EK10" s="45" t="str">
        <f>IF(TabDH[[#This Row],[R14]]&lt;=Sitze_Ausschuss,IF(TabDH[[#This Row],[R14]]+COUNTIF(TabDH[[R1]:[R19]],TabDH[[#This Row],[R14]])-1&lt;=Sitze_Ausschuss,"SITZ","PATT"),"")</f>
        <v/>
      </c>
      <c r="EL10" s="45" t="str">
        <f>IF(TabDH[[#This Row],[R15]]&lt;=Sitze_Ausschuss,IF(TabDH[[#This Row],[R15]]+COUNTIF(TabDH[[R1]:[R19]],TabDH[[#This Row],[R15]])-1&lt;=Sitze_Ausschuss,"SITZ","PATT"),"")</f>
        <v/>
      </c>
      <c r="EM10" s="45" t="str">
        <f>IF(TabDH[[#This Row],[R16]]&lt;=Sitze_Ausschuss,IF(TabDH[[#This Row],[R16]]+COUNTIF(TabDH[[R1]:[R19]],TabDH[[#This Row],[R16]])-1&lt;=Sitze_Ausschuss,"SITZ","PATT"),"")</f>
        <v/>
      </c>
      <c r="EN10" s="45" t="str">
        <f>IF(TabDH[[#This Row],[R17]]&lt;=Sitze_Ausschuss,IF(TabDH[[#This Row],[R17]]+COUNTIF(TabDH[[R1]:[R19]],TabDH[[#This Row],[R17]])-1&lt;=Sitze_Ausschuss,"SITZ","PATT"),"")</f>
        <v/>
      </c>
      <c r="EO10" s="45" t="str">
        <f>IF(TabDH[[#This Row],[R18]]&lt;=Sitze_Ausschuss,IF(TabDH[[#This Row],[R18]]+COUNTIF(TabDH[[R1]:[R19]],TabDH[[#This Row],[R18]])-1&lt;=Sitze_Ausschuss,"SITZ","PATT"),"")</f>
        <v/>
      </c>
      <c r="EP10" s="45" t="str">
        <f>IF(TabDH[[#This Row],[R19]]&lt;=Sitze_Ausschuss,IF(TabDH[[#This Row],[R19]]+COUNTIF(TabDH[[R1]:[R19]],TabDH[[#This Row],[R19]])-1&lt;=Sitze_Ausschuss,"SITZ","PATT"),"")</f>
        <v/>
      </c>
      <c r="EQ10" s="47" t="b">
        <f>COUNTIF(TabDH[[#This Row],[SP1]:[SP19]],"PATT")&gt;0</f>
        <v>0</v>
      </c>
      <c r="ER10" s="33">
        <f>IF(TabDH[[#This Row],[Patt]],(Sitze_Ausschuss-SUM(TabDH[Sitze]))/TabDH[[#Totals],[Patt]],0)</f>
        <v>0</v>
      </c>
      <c r="ES10" s="48">
        <f>TabDH[[#This Row],[Patt]]*IF(Pattaufloesung="Stimmen",TabPatt[[#This Row],[Stimmen]],0)*1</f>
        <v>0</v>
      </c>
      <c r="ET10" s="49" t="b">
        <f>_xlfn.RANK.EQ(TabDH[[#This Row],[Stimmen/Gelost]],TabDH[Stimmen/Gelost],0)&lt;=(Sitze_Ausschuss-SUM(TabDH[Sitze]))</f>
        <v>0</v>
      </c>
      <c r="EU10" s="50" t="b">
        <f>OR(TabDH[[#This Row],[Sitze]]&lt;ROUNDDOWN(Grunddaten[[#This Row],[Proporzgenaue Zahl Ausschuss]],0),TabDH[[#This Row],[Sitze]]+(TabDH[[#This Row],[Patt]]*1)&gt;ROUNDUP(Grunddaten[[#This Row],[Proporzgenaue Zahl Ausschuss]],0))</f>
        <v>0</v>
      </c>
      <c r="EV10" s="3"/>
      <c r="EW10" s="51" t="str">
        <f>Grunddaten[[#This Row],[Partei/Wählergruppe]]&amp;""</f>
        <v>SPD</v>
      </c>
      <c r="EX10" s="71">
        <v>3210</v>
      </c>
      <c r="EY10" s="3"/>
      <c r="EZ10">
        <f>IF(AND(Grunddaten[[#This Row],[Sitze im Hauptorgan]]&gt;0,ISBLANK(Grunddaten[[#This Row],[AG?]])),ROW())</f>
        <v>10</v>
      </c>
      <c r="FA10">
        <f t="shared" si="1"/>
        <v>4</v>
      </c>
      <c r="FB10" t="str">
        <f>Grunddaten[[#This Row],[Partei/Wählergruppe]]</f>
        <v>SPD</v>
      </c>
      <c r="FC10">
        <f>Grunddaten[[#This Row],[Sitze im Hauptorgan]]</f>
        <v>8</v>
      </c>
      <c r="FD10">
        <f>TabPatt[[#This Row],[Stimmen]]</f>
        <v>3210</v>
      </c>
      <c r="FE10" t="str">
        <f>IF(Grunddaten[[#This Row],[AG?]]=FE$6,MID(Grunddaten[[#This Row],[Partei/Wählergruppe]],1,3),"")</f>
        <v/>
      </c>
      <c r="FF10" t="str">
        <f>IF(Grunddaten[[#This Row],[AG?]]=FF$6,MID(Grunddaten[[#This Row],[Partei/Wählergruppe]],1,3),"")</f>
        <v/>
      </c>
      <c r="FG10" t="str">
        <f>IF(Grunddaten[[#This Row],[AG?]]=FG$6,MID(Grunddaten[[#This Row],[Partei/Wählergruppe]],1,3),"")</f>
        <v/>
      </c>
      <c r="FH10" t="str">
        <f>IF(Grunddaten[[#This Row],[AG?]]=FH$6,MID(Grunddaten[[#This Row],[Partei/Wählergruppe]],1,3),"")</f>
        <v/>
      </c>
      <c r="FI10" s="154">
        <f>TabHN[[#This Row],[Sitze]]+TabHN[[#This Row],[Patt Auflösung]]</f>
        <v>2</v>
      </c>
      <c r="FJ10" s="154">
        <f>TabSLS[[#This Row],[Sitze]]+TabSLS[[#This Row],[Patt Auflösung]]</f>
        <v>2</v>
      </c>
      <c r="FK10" s="154">
        <f>TabDH[[#This Row],[Sitze]]+TabDH[[#This Row],[Patt Auflösung]]</f>
        <v>2</v>
      </c>
      <c r="FL10" s="154">
        <f t="shared" si="2"/>
        <v>2</v>
      </c>
      <c r="FM10" s="154">
        <f t="shared" si="3"/>
        <v>2</v>
      </c>
      <c r="FN10" t="str">
        <f t="shared" si="4"/>
        <v>SITZ!</v>
      </c>
    </row>
    <row r="11" spans="1:176" x14ac:dyDescent="0.25">
      <c r="A11" s="3"/>
      <c r="B11" s="56" t="s">
        <v>3</v>
      </c>
      <c r="C11" s="71">
        <v>4</v>
      </c>
      <c r="D11" s="71"/>
      <c r="E11" s="93">
        <f>Grunddaten[[#This Row],[Sitze im Hauptorgan]]/Grunddaten[[#Totals],[Sitze im Hauptorgan]]*Sitze_Ausschuss</f>
        <v>0.79999999999999993</v>
      </c>
      <c r="F11" s="110" t="b">
        <f>OR(Grunddaten[[#This Row],[Proporzgenaue Zahl Ausschuss]]&gt;=1,Grunddaten[[#This Row],[Sitze im Hauptorgan]]&gt;Sitze_Hauptorgan/(1+Sitze_Ausschuss))</f>
        <v>0</v>
      </c>
      <c r="G11" s="159" t="str">
        <f>IF(ROUNDDOWN(Grunddaten[[#This Row],[Proporzgenaue Zahl Ausschuss]],0)&lt;&gt;ROUNDUP(Grunddaten[[#This Row],[Proporzgenaue Zahl Ausschuss]],0), ROUNDDOWN(Grunddaten[[#This Row],[Proporzgenaue Zahl Ausschuss]],0)&amp;" oder "&amp;ROUNDUP(Grunddaten[[#This Row],[Proporzgenaue Zahl Ausschuss]],0),ROUND(Grunddaten[[#This Row],[Proporzgenaue Zahl Ausschuss]],0))</f>
        <v>0 oder 1</v>
      </c>
      <c r="H11" s="52" t="str">
        <f t="shared" si="0"/>
        <v>OK</v>
      </c>
      <c r="I11" s="52" t="str">
        <f>IF(TabSLS[[#This Row],[QK verletzt]],"NOK","OK")</f>
        <v>OK</v>
      </c>
      <c r="J11" s="53" t="str">
        <f>IF(TabDH[[#This Row],[QK verletzt]],"NOK","OK")</f>
        <v>OK</v>
      </c>
      <c r="K11" s="3"/>
      <c r="L11" s="92">
        <f>TabHN[[#This Row],[S ganz]]+IF(NOT(TabHN[[#This Row],[Patt]]),TabHN[[#This Row],[Restsitz]],0)</f>
        <v>1</v>
      </c>
      <c r="M11" s="29">
        <f>IF(TabHN[[#This Row],[Patt]],IF(Pattaufloesung="Los-Chance",TabHN[[#This Row],[Los Chance]],TabHN[[#This Row],[Pattgewinn]]+0),0)</f>
        <v>0</v>
      </c>
      <c r="N11" s="30">
        <f>INT(Grunddaten[[#This Row],[Proporzgenaue Zahl Ausschuss]])</f>
        <v>0</v>
      </c>
      <c r="O11" s="31">
        <f>ROUND(Grunddaten[[#This Row],[Proporzgenaue Zahl Ausschuss]]-TabHN[[#This Row],[S ganz]],4)</f>
        <v>0.8</v>
      </c>
      <c r="P11" s="32">
        <f>_xlfn.RANK.EQ(TabHN[[#This Row],[S Rest]],TabHN[S Rest],0)</f>
        <v>1</v>
      </c>
      <c r="Q11" s="30">
        <f>IF(TabHN[[#This Row],[Rng Rest]]&lt;=TabHN[[#Totals],[S Rest]],1,0)</f>
        <v>1</v>
      </c>
      <c r="R11" s="30" t="b">
        <f>AND(TabHN[[#This Row],[Restsitz]]=1,(COUNTIF(TabHN[Rng Rest],TabHN[[#This Row],[Rng Rest]])+TabHN[[#This Row],[Rng Rest]]-1)&gt;TabHN[[#Totals],[S Rest]])</f>
        <v>0</v>
      </c>
      <c r="S11" s="33">
        <f>IF(TabHN[[#This Row],[Patt]],(Sitze_Ausschuss-SUM(TabHN[Sitze]))/TabHN[[#Totals],[Patt]],0)</f>
        <v>0</v>
      </c>
      <c r="T11" s="34">
        <f>TabHN[[#This Row],[Patt]]*IF(Pattaufloesung="Stimmen",TabPatt[[#This Row],[Stimmen]],0)*1</f>
        <v>0</v>
      </c>
      <c r="U11" s="35" t="b">
        <f>_xlfn.RANK.EQ(TabHN[[#This Row],[Stimmen/Gelost]],TabHN[Stimmen/Gelost],0)&lt;=(Sitze_Ausschuss-SUM(TabHN[Sitze]))</f>
        <v>1</v>
      </c>
      <c r="V11" s="3"/>
      <c r="W11" s="36">
        <f>COUNTIF(TabSLS[[#This Row],[SP1]:[SP37]],"SITZ")</f>
        <v>1</v>
      </c>
      <c r="X11" s="37">
        <f>IF(TabSLS[[#This Row],[Patt?]],IF(Pattaufloesung="Los-Chance",TabSLS[[#This Row],[Los Chance]],TabSLS[[#This Row],[Pattgewinn]]+0),0)</f>
        <v>0</v>
      </c>
      <c r="Y11" s="38">
        <f>Grunddaten[[#This Row],[Sitze im Hauptorgan]]/_xlfn.NUMBERVALUE(MID(INDEX(TabSLS[[#Headers],[:1]:[:37]],COLUMN()-COLUMN(TabSLS[[#Headers],[:1]])+1),2,3))</f>
        <v>4</v>
      </c>
      <c r="Z11" s="39">
        <f>Grunddaten[[#This Row],[Sitze im Hauptorgan]]/_xlfn.NUMBERVALUE(MID(INDEX(TabSLS[[#Headers],[:1]:[:37]],COLUMN()-COLUMN(TabSLS[[#Headers],[:1]])+1),2,3))</f>
        <v>1.3333333333333333</v>
      </c>
      <c r="AA11" s="39">
        <f>Grunddaten[[#This Row],[Sitze im Hauptorgan]]/_xlfn.NUMBERVALUE(MID(INDEX(TabSLS[[#Headers],[:1]:[:37]],COLUMN()-COLUMN(TabSLS[[#Headers],[:1]])+1),2,3))</f>
        <v>0.8</v>
      </c>
      <c r="AB11" s="39">
        <f>Grunddaten[[#This Row],[Sitze im Hauptorgan]]/_xlfn.NUMBERVALUE(MID(INDEX(TabSLS[[#Headers],[:1]:[:37]],COLUMN()-COLUMN(TabSLS[[#Headers],[:1]])+1),2,3))</f>
        <v>0.5714285714285714</v>
      </c>
      <c r="AC11" s="39">
        <f>Grunddaten[[#This Row],[Sitze im Hauptorgan]]/_xlfn.NUMBERVALUE(MID(INDEX(TabSLS[[#Headers],[:1]:[:37]],COLUMN()-COLUMN(TabSLS[[#Headers],[:1]])+1),2,3))</f>
        <v>0.44444444444444442</v>
      </c>
      <c r="AD11" s="39">
        <f>Grunddaten[[#This Row],[Sitze im Hauptorgan]]/_xlfn.NUMBERVALUE(MID(INDEX(TabSLS[[#Headers],[:1]:[:37]],COLUMN()-COLUMN(TabSLS[[#Headers],[:1]])+1),2,3))</f>
        <v>0.36363636363636365</v>
      </c>
      <c r="AE11" s="39">
        <f>Grunddaten[[#This Row],[Sitze im Hauptorgan]]/_xlfn.NUMBERVALUE(MID(INDEX(TabSLS[[#Headers],[:1]:[:37]],COLUMN()-COLUMN(TabSLS[[#Headers],[:1]])+1),2,3))</f>
        <v>0.30769230769230771</v>
      </c>
      <c r="AF11" s="39">
        <f>Grunddaten[[#This Row],[Sitze im Hauptorgan]]/_xlfn.NUMBERVALUE(MID(INDEX(TabSLS[[#Headers],[:1]:[:37]],COLUMN()-COLUMN(TabSLS[[#Headers],[:1]])+1),2,3))</f>
        <v>0.26666666666666666</v>
      </c>
      <c r="AG11" s="39">
        <f>Grunddaten[[#This Row],[Sitze im Hauptorgan]]/_xlfn.NUMBERVALUE(MID(INDEX(TabSLS[[#Headers],[:1]:[:37]],COLUMN()-COLUMN(TabSLS[[#Headers],[:1]])+1),2,3))</f>
        <v>0.23529411764705882</v>
      </c>
      <c r="AH11" s="39">
        <f>Grunddaten[[#This Row],[Sitze im Hauptorgan]]/_xlfn.NUMBERVALUE(MID(INDEX(TabSLS[[#Headers],[:1]:[:37]],COLUMN()-COLUMN(TabSLS[[#Headers],[:1]])+1),2,3))</f>
        <v>0.21052631578947367</v>
      </c>
      <c r="AI11" s="39">
        <f>Grunddaten[[#This Row],[Sitze im Hauptorgan]]/_xlfn.NUMBERVALUE(MID(INDEX(TabSLS[[#Headers],[:1]:[:37]],COLUMN()-COLUMN(TabSLS[[#Headers],[:1]])+1),2,3))</f>
        <v>0.19047619047619047</v>
      </c>
      <c r="AJ11" s="39">
        <f>Grunddaten[[#This Row],[Sitze im Hauptorgan]]/_xlfn.NUMBERVALUE(MID(INDEX(TabSLS[[#Headers],[:1]:[:37]],COLUMN()-COLUMN(TabSLS[[#Headers],[:1]])+1),2,3))</f>
        <v>0.17391304347826086</v>
      </c>
      <c r="AK11" s="39">
        <f>Grunddaten[[#This Row],[Sitze im Hauptorgan]]/_xlfn.NUMBERVALUE(MID(INDEX(TabSLS[[#Headers],[:1]:[:37]],COLUMN()-COLUMN(TabSLS[[#Headers],[:1]])+1),2,3))</f>
        <v>0.16</v>
      </c>
      <c r="AL11" s="39">
        <f>Grunddaten[[#This Row],[Sitze im Hauptorgan]]/_xlfn.NUMBERVALUE(MID(INDEX(TabSLS[[#Headers],[:1]:[:37]],COLUMN()-COLUMN(TabSLS[[#Headers],[:1]])+1),2,3))</f>
        <v>0.14814814814814814</v>
      </c>
      <c r="AM11" s="39">
        <f>Grunddaten[[#This Row],[Sitze im Hauptorgan]]/_xlfn.NUMBERVALUE(MID(INDEX(TabSLS[[#Headers],[:1]:[:37]],COLUMN()-COLUMN(TabSLS[[#Headers],[:1]])+1),2,3))</f>
        <v>0.13793103448275862</v>
      </c>
      <c r="AN11" s="39">
        <f>Grunddaten[[#This Row],[Sitze im Hauptorgan]]/_xlfn.NUMBERVALUE(MID(INDEX(TabSLS[[#Headers],[:1]:[:37]],COLUMN()-COLUMN(TabSLS[[#Headers],[:1]])+1),2,3))</f>
        <v>0.12903225806451613</v>
      </c>
      <c r="AO11" s="39">
        <f>Grunddaten[[#This Row],[Sitze im Hauptorgan]]/_xlfn.NUMBERVALUE(MID(INDEX(TabSLS[[#Headers],[:1]:[:37]],COLUMN()-COLUMN(TabSLS[[#Headers],[:1]])+1),2,3))</f>
        <v>0.12121212121212122</v>
      </c>
      <c r="AP11" s="39">
        <f>Grunddaten[[#This Row],[Sitze im Hauptorgan]]/_xlfn.NUMBERVALUE(MID(INDEX(TabSLS[[#Headers],[:1]:[:37]],COLUMN()-COLUMN(TabSLS[[#Headers],[:1]])+1),2,3))</f>
        <v>0.11428571428571428</v>
      </c>
      <c r="AQ11" s="40">
        <f>Grunddaten[[#This Row],[Sitze im Hauptorgan]]/_xlfn.NUMBERVALUE(MID(INDEX(TabSLS[[#Headers],[:1]:[:37]],COLUMN()-COLUMN(TabSLS[[#Headers],[:1]])+1),2,3))</f>
        <v>0.10810810810810811</v>
      </c>
      <c r="AR11" s="41">
        <f>_xlfn.RANK.EQ(TabSLS[[#This Row],[:1]],TabSLS[[:1]:[:37]],0)</f>
        <v>7</v>
      </c>
      <c r="AS11" s="42">
        <f>_xlfn.RANK.EQ(TabSLS[[#This Row],[:3]],TabSLS[[:1]:[:37]],0)</f>
        <v>27</v>
      </c>
      <c r="AT11" s="42">
        <f>_xlfn.RANK.EQ(TabSLS[[#This Row],[:5]],TabSLS[[:1]:[:37]],0)</f>
        <v>43</v>
      </c>
      <c r="AU11" s="42">
        <f>_xlfn.RANK.EQ(TabSLS[[#This Row],[:7]],TabSLS[[:1]:[:37]],0)</f>
        <v>63</v>
      </c>
      <c r="AV11" s="42">
        <f>_xlfn.RANK.EQ(TabSLS[[#This Row],[:9]],TabSLS[[:1]:[:37]],0)</f>
        <v>74</v>
      </c>
      <c r="AW11" s="42">
        <f>_xlfn.RANK.EQ(TabSLS[[#This Row],[:11]],TabSLS[[:1]:[:37]],0)</f>
        <v>86</v>
      </c>
      <c r="AX11" s="42">
        <f>_xlfn.RANK.EQ(TabSLS[[#This Row],[:13]],TabSLS[[:1]:[:37]],0)</f>
        <v>93</v>
      </c>
      <c r="AY11" s="42">
        <f>_xlfn.RANK.EQ(TabSLS[[#This Row],[:15]],TabSLS[[:1]:[:37]],0)</f>
        <v>104</v>
      </c>
      <c r="AZ11" s="42">
        <f>_xlfn.RANK.EQ(TabSLS[[#This Row],[:17]],TabSLS[[:1]:[:37]],0)</f>
        <v>107</v>
      </c>
      <c r="BA11" s="42">
        <f>_xlfn.RANK.EQ(TabSLS[[#This Row],[:19]],TabSLS[[:1]:[:37]],0)</f>
        <v>115</v>
      </c>
      <c r="BB11" s="42">
        <f>_xlfn.RANK.EQ(TabSLS[[#This Row],[:21]],TabSLS[[:1]:[:37]],0)</f>
        <v>118</v>
      </c>
      <c r="BC11" s="42">
        <f>_xlfn.RANK.EQ(TabSLS[[#This Row],[:23]],TabSLS[[:1]:[:37]],0)</f>
        <v>124</v>
      </c>
      <c r="BD11" s="42">
        <f>_xlfn.RANK.EQ(TabSLS[[#This Row],[:25]],TabSLS[[:1]:[:37]],0)</f>
        <v>125</v>
      </c>
      <c r="BE11" s="42">
        <f>_xlfn.RANK.EQ(TabSLS[[#This Row],[:27]],TabSLS[[:1]:[:37]],0)</f>
        <v>131</v>
      </c>
      <c r="BF11" s="42">
        <f>_xlfn.RANK.EQ(TabSLS[[#This Row],[:29]],TabSLS[[:1]:[:37]],0)</f>
        <v>134</v>
      </c>
      <c r="BG11" s="42">
        <f>_xlfn.RANK.EQ(TabSLS[[#This Row],[:31]],TabSLS[[:1]:[:37]],0)</f>
        <v>140</v>
      </c>
      <c r="BH11" s="42">
        <f>_xlfn.RANK.EQ(TabSLS[[#This Row],[:33]],TabSLS[[:1]:[:37]],0)</f>
        <v>141</v>
      </c>
      <c r="BI11" s="42">
        <f>_xlfn.RANK.EQ(TabSLS[[#This Row],[:35]],TabSLS[[:1]:[:37]],0)</f>
        <v>147</v>
      </c>
      <c r="BJ11" s="43">
        <f>_xlfn.RANK.EQ(TabSLS[[#This Row],[:37]],TabSLS[[:1]:[:37]],0)</f>
        <v>150</v>
      </c>
      <c r="BK11" s="44" t="str">
        <f>IF(TabSLS[[#This Row],[R1]]&lt;=Sitze_Ausschuss,IF(TabSLS[[#This Row],[R1]]+COUNTIF(TabSLS[[R1]:[R37]],TabSLS[[#This Row],[R1]])-1&lt;=Sitze_Ausschuss,"SITZ","PATT"),"")</f>
        <v>SITZ</v>
      </c>
      <c r="BL11" s="45" t="str">
        <f>IF(TabSLS[[#This Row],[R3]]&lt;=Sitze_Ausschuss,IF(TabSLS[[#This Row],[R3]]+COUNTIF(TabSLS[[R1]:[R37]],TabSLS[[#This Row],[R3]])-1&lt;=Sitze_Ausschuss,"SITZ","PATT"),"")</f>
        <v/>
      </c>
      <c r="BM11" s="45" t="str">
        <f>IF(TabSLS[[#This Row],[R5]]&lt;=Sitze_Ausschuss,IF(TabSLS[[#This Row],[R5]]+COUNTIF(TabSLS[[R1]:[R37]],TabSLS[[#This Row],[R5]])-1&lt;=Sitze_Ausschuss,"SITZ","PATT"),"")</f>
        <v/>
      </c>
      <c r="BN11" s="45" t="str">
        <f>IF(TabSLS[[#This Row],[R7]]&lt;=Sitze_Ausschuss,IF(TabSLS[[#This Row],[R7]]+COUNTIF(TabSLS[[R1]:[R37]],TabSLS[[#This Row],[R7]])-1&lt;=Sitze_Ausschuss,"SITZ","PATT"),"")</f>
        <v/>
      </c>
      <c r="BO11" s="45" t="str">
        <f>IF(TabSLS[[#This Row],[R9]]&lt;=Sitze_Ausschuss,IF(TabSLS[[#This Row],[R9]]+COUNTIF(TabSLS[[R1]:[R37]],TabSLS[[#This Row],[R9]])-1&lt;=Sitze_Ausschuss,"SITZ","PATT"),"")</f>
        <v/>
      </c>
      <c r="BP11" s="45" t="str">
        <f>IF(TabSLS[[#This Row],[R11]]&lt;=Sitze_Ausschuss,IF(TabSLS[[#This Row],[R11]]+COUNTIF(TabSLS[[R1]:[R37]],TabSLS[[#This Row],[R11]])-1&lt;=Sitze_Ausschuss,"SITZ","PATT"),"")</f>
        <v/>
      </c>
      <c r="BQ11" s="45" t="str">
        <f>IF(TabSLS[[#This Row],[R13]]&lt;=Sitze_Ausschuss,IF(TabSLS[[#This Row],[R13]]+COUNTIF(TabSLS[[R1]:[R37]],TabSLS[[#This Row],[R13]])-1&lt;=Sitze_Ausschuss,"SITZ","PATT"),"")</f>
        <v/>
      </c>
      <c r="BR11" s="45" t="str">
        <f>IF(TabSLS[[#This Row],[R15]]&lt;=Sitze_Ausschuss,IF(TabSLS[[#This Row],[R15]]+COUNTIF(TabSLS[[R1]:[R37]],TabSLS[[#This Row],[R15]])-1&lt;=Sitze_Ausschuss,"SITZ","PATT"),"")</f>
        <v/>
      </c>
      <c r="BS11" s="45" t="str">
        <f>IF(TabSLS[[#This Row],[R17]]&lt;=Sitze_Ausschuss,IF(TabSLS[[#This Row],[R17]]+COUNTIF(TabSLS[[R1]:[R37]],TabSLS[[#This Row],[R17]])-1&lt;=Sitze_Ausschuss,"SITZ","PATT"),"")</f>
        <v/>
      </c>
      <c r="BT11" s="45" t="str">
        <f>IF(TabSLS[[#This Row],[R19]]&lt;=Sitze_Ausschuss,IF(TabSLS[[#This Row],[R19]]+COUNTIF(TabSLS[[R1]:[R37]],TabSLS[[#This Row],[R19]])-1&lt;=Sitze_Ausschuss,"SITZ","PATT"),"")</f>
        <v/>
      </c>
      <c r="BU11" s="45" t="str">
        <f>IF(TabSLS[[#This Row],[R21]]&lt;=Sitze_Ausschuss,IF(TabSLS[[#This Row],[R21]]+COUNTIF(TabSLS[[R1]:[R37]],TabSLS[[#This Row],[R21]])-1&lt;=Sitze_Ausschuss,"SITZ","PATT"),"")</f>
        <v/>
      </c>
      <c r="BV11" s="45" t="str">
        <f>IF(TabSLS[[#This Row],[R23]]&lt;=Sitze_Ausschuss,IF(TabSLS[[#This Row],[R23]]+COUNTIF(TabSLS[[R1]:[R37]],TabSLS[[#This Row],[R23]])-1&lt;=Sitze_Ausschuss,"SITZ","PATT"),"")</f>
        <v/>
      </c>
      <c r="BW11" s="45" t="str">
        <f>IF(TabSLS[[#This Row],[R25]]&lt;=Sitze_Ausschuss,IF(TabSLS[[#This Row],[R25]]+COUNTIF(TabSLS[[R1]:[R37]],TabSLS[[#This Row],[R25]])-1&lt;=Sitze_Ausschuss,"SITZ","PATT"),"")</f>
        <v/>
      </c>
      <c r="BX11" s="45" t="str">
        <f>IF(TabSLS[[#This Row],[R27]]&lt;=Sitze_Ausschuss,IF(TabSLS[[#This Row],[R27]]+COUNTIF(TabSLS[[R1]:[R37]],TabSLS[[#This Row],[R27]])-1&lt;=Sitze_Ausschuss,"SITZ","PATT"),"")</f>
        <v/>
      </c>
      <c r="BY11" s="45" t="str">
        <f>IF(TabSLS[[#This Row],[R29]]&lt;=Sitze_Ausschuss,IF(TabSLS[[#This Row],[R29]]+COUNTIF(TabSLS[[R1]:[R37]],TabSLS[[#This Row],[R29]])-1&lt;=Sitze_Ausschuss,"SITZ","PATT"),"")</f>
        <v/>
      </c>
      <c r="BZ11" s="45" t="str">
        <f>IF(TabSLS[[#This Row],[R31]]&lt;=Sitze_Ausschuss,IF(TabSLS[[#This Row],[R31]]+COUNTIF(TabSLS[[R1]:[R37]],TabSLS[[#This Row],[R31]])-1&lt;=Sitze_Ausschuss,"SITZ","PATT"),"")</f>
        <v/>
      </c>
      <c r="CA11" s="45" t="str">
        <f>IF(TabSLS[[#This Row],[R33]]&lt;=Sitze_Ausschuss,IF(TabSLS[[#This Row],[R33]]+COUNTIF(TabSLS[[R1]:[R37]],TabSLS[[#This Row],[R33]])-1&lt;=Sitze_Ausschuss,"SITZ","PATT"),"")</f>
        <v/>
      </c>
      <c r="CB11" s="45" t="str">
        <f>IF(TabSLS[[#This Row],[R35]]&lt;=Sitze_Ausschuss,IF(TabSLS[[#This Row],[R35]]+COUNTIF(TabSLS[[R1]:[R37]],TabSLS[[#This Row],[R35]])-1&lt;=Sitze_Ausschuss,"SITZ","PATT"),"")</f>
        <v/>
      </c>
      <c r="CC11" s="46" t="str">
        <f>IF(TabSLS[[#This Row],[R37]]&lt;=Sitze_Ausschuss,IF(TabSLS[[#This Row],[R37]]+COUNTIF(TabSLS[[R1]:[R37]],TabSLS[[#This Row],[R37]])-1&lt;=Sitze_Ausschuss,"SITZ","PATT"),"")</f>
        <v/>
      </c>
      <c r="CD11" s="47" t="b">
        <f>COUNTIF(TabSLS[[#This Row],[SP1]:[SP37]],"PATT")&gt;0</f>
        <v>0</v>
      </c>
      <c r="CE11" s="33">
        <f>IF(TabSLS[[#This Row],[Patt?]],(Sitze_Ausschuss-SUM(TabSLS[Sitze]))/TabSLS[[#Totals],[Patt?]],0)</f>
        <v>0</v>
      </c>
      <c r="CF11" s="48">
        <f>TabSLS[[#This Row],[Patt?]]*IF(Pattaufloesung="Stimmen",TabPatt[[#This Row],[Stimmen]],0)*1</f>
        <v>0</v>
      </c>
      <c r="CG11" s="49" t="b">
        <f>_xlfn.RANK.EQ(TabSLS[[#This Row],[Stimmen Gelost]],TabSLS[Stimmen Gelost],0)&lt;=(Sitze_Ausschuss-SUM(TabSLS[Sitze]))</f>
        <v>0</v>
      </c>
      <c r="CH11" s="50" t="b">
        <f>OR(TabSLS[[#This Row],[Sitze]]&lt;ROUNDDOWN(Grunddaten[[#This Row],[Proporzgenaue Zahl Ausschuss]],0),TabSLS[[#This Row],[Sitze]]+(TabSLS[[#This Row],[Patt?]]*1)&gt;ROUNDUP(Grunddaten[[#This Row],[Proporzgenaue Zahl Ausschuss]],0))</f>
        <v>0</v>
      </c>
      <c r="CI11" s="3"/>
      <c r="CJ11" s="36">
        <f>COUNTIF(TabDH[[#This Row],[SP1]:[SP19]],"SITZ")</f>
        <v>1</v>
      </c>
      <c r="CK11" s="37">
        <f>IF(TabDH[[#This Row],[Patt]],IF(Pattaufloesung="Los-Chance",TabDH[[#This Row],[Los Chance]],TabDH[[#This Row],[Pattgewinn]]+0),0)</f>
        <v>0</v>
      </c>
      <c r="CL11" s="38">
        <f>Grunddaten[[#This Row],[Sitze im Hauptorgan]]/_xlfn.NUMBERVALUE(MID(INDEX(TabDH[[#Headers],[:1]:[:19]],COLUMN()-COLUMN(TabDH[[#Headers],[:1]])+1),2,3))</f>
        <v>4</v>
      </c>
      <c r="CM11" s="39">
        <f>Grunddaten[[#This Row],[Sitze im Hauptorgan]]/_xlfn.NUMBERVALUE(MID(INDEX(TabDH[[#Headers],[:1]:[:19]],COLUMN()-COLUMN(TabDH[[#Headers],[:1]])+1),2,3))</f>
        <v>2</v>
      </c>
      <c r="CN11" s="39">
        <f>Grunddaten[[#This Row],[Sitze im Hauptorgan]]/_xlfn.NUMBERVALUE(MID(INDEX(TabDH[[#Headers],[:1]:[:19]],COLUMN()-COLUMN(TabDH[[#Headers],[:1]])+1),2,3))</f>
        <v>1.3333333333333333</v>
      </c>
      <c r="CO11" s="39">
        <f>Grunddaten[[#This Row],[Sitze im Hauptorgan]]/_xlfn.NUMBERVALUE(MID(INDEX(TabDH[[#Headers],[:1]:[:19]],COLUMN()-COLUMN(TabDH[[#Headers],[:1]])+1),2,3))</f>
        <v>1</v>
      </c>
      <c r="CP11" s="39">
        <f>Grunddaten[[#This Row],[Sitze im Hauptorgan]]/_xlfn.NUMBERVALUE(MID(INDEX(TabDH[[#Headers],[:1]:[:19]],COLUMN()-COLUMN(TabDH[[#Headers],[:1]])+1),2,3))</f>
        <v>0.8</v>
      </c>
      <c r="CQ11" s="39">
        <f>Grunddaten[[#This Row],[Sitze im Hauptorgan]]/_xlfn.NUMBERVALUE(MID(INDEX(TabDH[[#Headers],[:1]:[:19]],COLUMN()-COLUMN(TabDH[[#Headers],[:1]])+1),2,3))</f>
        <v>0.66666666666666663</v>
      </c>
      <c r="CR11" s="39">
        <f>Grunddaten[[#This Row],[Sitze im Hauptorgan]]/_xlfn.NUMBERVALUE(MID(INDEX(TabDH[[#Headers],[:1]:[:19]],COLUMN()-COLUMN(TabDH[[#Headers],[:1]])+1),2,3))</f>
        <v>0.5714285714285714</v>
      </c>
      <c r="CS11" s="39">
        <f>Grunddaten[[#This Row],[Sitze im Hauptorgan]]/_xlfn.NUMBERVALUE(MID(INDEX(TabDH[[#Headers],[:1]:[:19]],COLUMN()-COLUMN(TabDH[[#Headers],[:1]])+1),2,3))</f>
        <v>0.5</v>
      </c>
      <c r="CT11" s="39">
        <f>Grunddaten[[#This Row],[Sitze im Hauptorgan]]/_xlfn.NUMBERVALUE(MID(INDEX(TabDH[[#Headers],[:1]:[:19]],COLUMN()-COLUMN(TabDH[[#Headers],[:1]])+1),2,3))</f>
        <v>0.44444444444444442</v>
      </c>
      <c r="CU11" s="39">
        <f>Grunddaten[[#This Row],[Sitze im Hauptorgan]]/_xlfn.NUMBERVALUE(MID(INDEX(TabDH[[#Headers],[:1]:[:19]],COLUMN()-COLUMN(TabDH[[#Headers],[:1]])+1),2,3))</f>
        <v>0.4</v>
      </c>
      <c r="CV11" s="39">
        <f>Grunddaten[[#This Row],[Sitze im Hauptorgan]]/_xlfn.NUMBERVALUE(MID(INDEX(TabDH[[#Headers],[:1]:[:19]],COLUMN()-COLUMN(TabDH[[#Headers],[:1]])+1),2,3))</f>
        <v>0.36363636363636365</v>
      </c>
      <c r="CW11" s="39">
        <f>Grunddaten[[#This Row],[Sitze im Hauptorgan]]/_xlfn.NUMBERVALUE(MID(INDEX(TabDH[[#Headers],[:1]:[:19]],COLUMN()-COLUMN(TabDH[[#Headers],[:1]])+1),2,3))</f>
        <v>0.33333333333333331</v>
      </c>
      <c r="CX11" s="39">
        <f>Grunddaten[[#This Row],[Sitze im Hauptorgan]]/_xlfn.NUMBERVALUE(MID(INDEX(TabDH[[#Headers],[:1]:[:19]],COLUMN()-COLUMN(TabDH[[#Headers],[:1]])+1),2,3))</f>
        <v>0.30769230769230771</v>
      </c>
      <c r="CY11" s="39">
        <f>Grunddaten[[#This Row],[Sitze im Hauptorgan]]/_xlfn.NUMBERVALUE(MID(INDEX(TabDH[[#Headers],[:1]:[:19]],COLUMN()-COLUMN(TabDH[[#Headers],[:1]])+1),2,3))</f>
        <v>0.2857142857142857</v>
      </c>
      <c r="CZ11" s="39">
        <f>Grunddaten[[#This Row],[Sitze im Hauptorgan]]/_xlfn.NUMBERVALUE(MID(INDEX(TabDH[[#Headers],[:1]:[:19]],COLUMN()-COLUMN(TabDH[[#Headers],[:1]])+1),2,3))</f>
        <v>0.26666666666666666</v>
      </c>
      <c r="DA11" s="39">
        <f>Grunddaten[[#This Row],[Sitze im Hauptorgan]]/_xlfn.NUMBERVALUE(MID(INDEX(TabDH[[#Headers],[:1]:[:19]],COLUMN()-COLUMN(TabDH[[#Headers],[:1]])+1),2,3))</f>
        <v>0.25</v>
      </c>
      <c r="DB11" s="39">
        <f>Grunddaten[[#This Row],[Sitze im Hauptorgan]]/_xlfn.NUMBERVALUE(MID(INDEX(TabDH[[#Headers],[:1]:[:19]],COLUMN()-COLUMN(TabDH[[#Headers],[:1]])+1),2,3))</f>
        <v>0.23529411764705882</v>
      </c>
      <c r="DC11" s="39">
        <f>Grunddaten[[#This Row],[Sitze im Hauptorgan]]/_xlfn.NUMBERVALUE(MID(INDEX(TabDH[[#Headers],[:1]:[:19]],COLUMN()-COLUMN(TabDH[[#Headers],[:1]])+1),2,3))</f>
        <v>0.22222222222222221</v>
      </c>
      <c r="DD11" s="40">
        <f>Grunddaten[[#This Row],[Sitze im Hauptorgan]]/_xlfn.NUMBERVALUE(MID(INDEX(TabDH[[#Headers],[:1]:[:19]],COLUMN()-COLUMN(TabDH[[#Headers],[:1]])+1),2,3))</f>
        <v>0.21052631578947367</v>
      </c>
      <c r="DE11" s="41">
        <f>_xlfn.RANK.EQ(TabDH[[#This Row],[:1]],TabDH[[:1]:[:19]],0)</f>
        <v>11</v>
      </c>
      <c r="DF11" s="42">
        <f>_xlfn.RANK.EQ(TabDH[[#This Row],[:2]],TabDH[[:1]:[:19]],0)</f>
        <v>26</v>
      </c>
      <c r="DG11" s="42">
        <f>_xlfn.RANK.EQ(TabDH[[#This Row],[:3]],TabDH[[:1]:[:19]],0)</f>
        <v>46</v>
      </c>
      <c r="DH11" s="42">
        <f>_xlfn.RANK.EQ(TabDH[[#This Row],[:4]],TabDH[[:1]:[:19]],0)</f>
        <v>60</v>
      </c>
      <c r="DI11" s="42">
        <f>_xlfn.RANK.EQ(TabDH[[#This Row],[:5]],TabDH[[:1]:[:19]],0)</f>
        <v>76</v>
      </c>
      <c r="DJ11" s="42">
        <f>_xlfn.RANK.EQ(TabDH[[#This Row],[:6]],TabDH[[:1]:[:19]],0)</f>
        <v>82</v>
      </c>
      <c r="DK11" s="42">
        <f>_xlfn.RANK.EQ(TabDH[[#This Row],[:7]],TabDH[[:1]:[:19]],0)</f>
        <v>93</v>
      </c>
      <c r="DL11" s="42">
        <f>_xlfn.RANK.EQ(TabDH[[#This Row],[:8]],TabDH[[:1]:[:19]],0)</f>
        <v>98</v>
      </c>
      <c r="DM11" s="42">
        <f>_xlfn.RANK.EQ(TabDH[[#This Row],[:9]],TabDH[[:1]:[:19]],0)</f>
        <v>107</v>
      </c>
      <c r="DN11" s="42">
        <f>_xlfn.RANK.EQ(TabDH[[#This Row],[:10]],TabDH[[:1]:[:19]],0)</f>
        <v>111</v>
      </c>
      <c r="DO11" s="42">
        <f>_xlfn.RANK.EQ(TabDH[[#This Row],[:11]],TabDH[[:1]:[:19]],0)</f>
        <v>117</v>
      </c>
      <c r="DP11" s="42">
        <f>_xlfn.RANK.EQ(TabDH[[#This Row],[:12]],TabDH[[:1]:[:19]],0)</f>
        <v>118</v>
      </c>
      <c r="DQ11" s="42">
        <f>_xlfn.RANK.EQ(TabDH[[#This Row],[:13]],TabDH[[:1]:[:19]],0)</f>
        <v>125</v>
      </c>
      <c r="DR11" s="42">
        <f>_xlfn.RANK.EQ(TabDH[[#This Row],[:14]],TabDH[[:1]:[:19]],0)</f>
        <v>127</v>
      </c>
      <c r="DS11" s="42">
        <f>_xlfn.RANK.EQ(TabDH[[#This Row],[:15]],TabDH[[:1]:[:19]],0)</f>
        <v>133</v>
      </c>
      <c r="DT11" s="42">
        <f>_xlfn.RANK.EQ(TabDH[[#This Row],[:16]],TabDH[[:1]:[:19]],0)</f>
        <v>134</v>
      </c>
      <c r="DU11" s="42">
        <f>_xlfn.RANK.EQ(TabDH[[#This Row],[:17]],TabDH[[:1]:[:19]],0)</f>
        <v>141</v>
      </c>
      <c r="DV11" s="42">
        <f>_xlfn.RANK.EQ(TabDH[[#This Row],[:18]],TabDH[[:1]:[:19]],0)</f>
        <v>143</v>
      </c>
      <c r="DW11" s="43">
        <f>_xlfn.RANK.EQ(TabDH[[#This Row],[:19]],TabDH[[:1]:[:19]],0)</f>
        <v>149</v>
      </c>
      <c r="DX11" s="44" t="str">
        <f>IF(TabDH[[#This Row],[R1]]&lt;=Sitze_Ausschuss,IF(TabDH[[#This Row],[R1]]+COUNTIF(TabDH[[R1]:[R19]],TabDH[[#This Row],[R1]])-1&lt;=Sitze_Ausschuss,"SITZ","PATT"),"")</f>
        <v>SITZ</v>
      </c>
      <c r="DY11" s="45" t="str">
        <f>IF(TabDH[[#This Row],[R2]]&lt;=Sitze_Ausschuss,IF(TabDH[[#This Row],[R2]]+COUNTIF(TabDH[[R1]:[R19]],TabDH[[#This Row],[R2]])-1&lt;=Sitze_Ausschuss,"SITZ","PATT"),"")</f>
        <v/>
      </c>
      <c r="DZ11" s="45" t="str">
        <f>IF(TabDH[[#This Row],[R3]]&lt;=Sitze_Ausschuss,IF(TabDH[[#This Row],[R3]]+COUNTIF(TabDH[[R1]:[R19]],TabDH[[#This Row],[R3]])-1&lt;=Sitze_Ausschuss,"SITZ","PATT"),"")</f>
        <v/>
      </c>
      <c r="EA11" s="45" t="str">
        <f>IF(TabDH[[#This Row],[R4]]&lt;=Sitze_Ausschuss,IF(TabDH[[#This Row],[R4]]+COUNTIF(TabDH[[R1]:[R19]],TabDH[[#This Row],[R4]])-1&lt;=Sitze_Ausschuss,"SITZ","PATT"),"")</f>
        <v/>
      </c>
      <c r="EB11" s="45" t="str">
        <f>IF(TabDH[[#This Row],[R5]]&lt;=Sitze_Ausschuss,IF(TabDH[[#This Row],[R5]]+COUNTIF(TabDH[[R1]:[R19]],TabDH[[#This Row],[R5]])-1&lt;=Sitze_Ausschuss,"SITZ","PATT"),"")</f>
        <v/>
      </c>
      <c r="EC11" s="45" t="str">
        <f>IF(TabDH[[#This Row],[R6]]&lt;=Sitze_Ausschuss,IF(TabDH[[#This Row],[R6]]+COUNTIF(TabDH[[R1]:[R19]],TabDH[[#This Row],[R6]])-1&lt;=Sitze_Ausschuss,"SITZ","PATT"),"")</f>
        <v/>
      </c>
      <c r="ED11" s="45" t="str">
        <f>IF(TabDH[[#This Row],[R7]]&lt;=Sitze_Ausschuss,IF(TabDH[[#This Row],[R7]]+COUNTIF(TabDH[[R1]:[R19]],TabDH[[#This Row],[R7]])-1&lt;=Sitze_Ausschuss,"SITZ","PATT"),"")</f>
        <v/>
      </c>
      <c r="EE11" s="45" t="str">
        <f>IF(TabDH[[#This Row],[R8]]&lt;=Sitze_Ausschuss,IF(TabDH[[#This Row],[R8]]+COUNTIF(TabDH[[R1]:[R19]],TabDH[[#This Row],[R8]])-1&lt;=Sitze_Ausschuss,"SITZ","PATT"),"")</f>
        <v/>
      </c>
      <c r="EF11" s="45" t="str">
        <f>IF(TabDH[[#This Row],[R9]]&lt;=Sitze_Ausschuss,IF(TabDH[[#This Row],[R9]]+COUNTIF(TabDH[[R1]:[R19]],TabDH[[#This Row],[R9]])-1&lt;=Sitze_Ausschuss,"SITZ","PATT"),"")</f>
        <v/>
      </c>
      <c r="EG11" s="45" t="str">
        <f>IF(TabDH[[#This Row],[R10]]&lt;=Sitze_Ausschuss,IF(TabDH[[#This Row],[R10]]+COUNTIF(TabDH[[R1]:[R19]],TabDH[[#This Row],[R10]])-1&lt;=Sitze_Ausschuss,"SITZ","PATT"),"")</f>
        <v/>
      </c>
      <c r="EH11" s="45" t="str">
        <f>IF(TabDH[[#This Row],[R11]]&lt;=Sitze_Ausschuss,IF(TabDH[[#This Row],[R11]]+COUNTIF(TabDH[[R1]:[R19]],TabDH[[#This Row],[R11]])-1&lt;=Sitze_Ausschuss,"SITZ","PATT"),"")</f>
        <v/>
      </c>
      <c r="EI11" s="45" t="str">
        <f>IF(TabDH[[#This Row],[R12]]&lt;=Sitze_Ausschuss,IF(TabDH[[#This Row],[R12]]+COUNTIF(TabDH[[R1]:[R19]],TabDH[[#This Row],[R12]])-1&lt;=Sitze_Ausschuss,"SITZ","PATT"),"")</f>
        <v/>
      </c>
      <c r="EJ11" s="45" t="str">
        <f>IF(TabDH[[#This Row],[R13]]&lt;=Sitze_Ausschuss,IF(TabDH[[#This Row],[R13]]+COUNTIF(TabDH[[R1]:[R19]],TabDH[[#This Row],[R13]])-1&lt;=Sitze_Ausschuss,"SITZ","PATT"),"")</f>
        <v/>
      </c>
      <c r="EK11" s="45" t="str">
        <f>IF(TabDH[[#This Row],[R14]]&lt;=Sitze_Ausschuss,IF(TabDH[[#This Row],[R14]]+COUNTIF(TabDH[[R1]:[R19]],TabDH[[#This Row],[R14]])-1&lt;=Sitze_Ausschuss,"SITZ","PATT"),"")</f>
        <v/>
      </c>
      <c r="EL11" s="45" t="str">
        <f>IF(TabDH[[#This Row],[R15]]&lt;=Sitze_Ausschuss,IF(TabDH[[#This Row],[R15]]+COUNTIF(TabDH[[R1]:[R19]],TabDH[[#This Row],[R15]])-1&lt;=Sitze_Ausschuss,"SITZ","PATT"),"")</f>
        <v/>
      </c>
      <c r="EM11" s="45" t="str">
        <f>IF(TabDH[[#This Row],[R16]]&lt;=Sitze_Ausschuss,IF(TabDH[[#This Row],[R16]]+COUNTIF(TabDH[[R1]:[R19]],TabDH[[#This Row],[R16]])-1&lt;=Sitze_Ausschuss,"SITZ","PATT"),"")</f>
        <v/>
      </c>
      <c r="EN11" s="45" t="str">
        <f>IF(TabDH[[#This Row],[R17]]&lt;=Sitze_Ausschuss,IF(TabDH[[#This Row],[R17]]+COUNTIF(TabDH[[R1]:[R19]],TabDH[[#This Row],[R17]])-1&lt;=Sitze_Ausschuss,"SITZ","PATT"),"")</f>
        <v/>
      </c>
      <c r="EO11" s="45" t="str">
        <f>IF(TabDH[[#This Row],[R18]]&lt;=Sitze_Ausschuss,IF(TabDH[[#This Row],[R18]]+COUNTIF(TabDH[[R1]:[R19]],TabDH[[#This Row],[R18]])-1&lt;=Sitze_Ausschuss,"SITZ","PATT"),"")</f>
        <v/>
      </c>
      <c r="EP11" s="45" t="str">
        <f>IF(TabDH[[#This Row],[R19]]&lt;=Sitze_Ausschuss,IF(TabDH[[#This Row],[R19]]+COUNTIF(TabDH[[R1]:[R19]],TabDH[[#This Row],[R19]])-1&lt;=Sitze_Ausschuss,"SITZ","PATT"),"")</f>
        <v/>
      </c>
      <c r="EQ11" s="47" t="b">
        <f>COUNTIF(TabDH[[#This Row],[SP1]:[SP19]],"PATT")&gt;0</f>
        <v>0</v>
      </c>
      <c r="ER11" s="33">
        <f>IF(TabDH[[#This Row],[Patt]],(Sitze_Ausschuss-SUM(TabDH[Sitze]))/TabDH[[#Totals],[Patt]],0)</f>
        <v>0</v>
      </c>
      <c r="ES11" s="48">
        <f>TabDH[[#This Row],[Patt]]*IF(Pattaufloesung="Stimmen",TabPatt[[#This Row],[Stimmen]],0)*1</f>
        <v>0</v>
      </c>
      <c r="ET11" s="49" t="b">
        <f>_xlfn.RANK.EQ(TabDH[[#This Row],[Stimmen/Gelost]],TabDH[Stimmen/Gelost],0)&lt;=(Sitze_Ausschuss-SUM(TabDH[Sitze]))</f>
        <v>0</v>
      </c>
      <c r="EU11" s="50" t="b">
        <f>OR(TabDH[[#This Row],[Sitze]]&lt;ROUNDDOWN(Grunddaten[[#This Row],[Proporzgenaue Zahl Ausschuss]],0),TabDH[[#This Row],[Sitze]]+(TabDH[[#This Row],[Patt]]*1)&gt;ROUNDUP(Grunddaten[[#This Row],[Proporzgenaue Zahl Ausschuss]],0))</f>
        <v>0</v>
      </c>
      <c r="EV11" s="3"/>
      <c r="EW11" s="51" t="str">
        <f>Grunddaten[[#This Row],[Partei/Wählergruppe]]&amp;""</f>
        <v>AfD</v>
      </c>
      <c r="EX11" s="71">
        <v>2345</v>
      </c>
      <c r="EY11" s="3"/>
      <c r="EZ11">
        <f>IF(AND(Grunddaten[[#This Row],[Sitze im Hauptorgan]]&gt;0,ISBLANK(Grunddaten[[#This Row],[AG?]])),ROW())</f>
        <v>11</v>
      </c>
      <c r="FA11">
        <f>IFERROR(RANK(EZ11,$EZ$7:$EZ$21,1),0)</f>
        <v>5</v>
      </c>
      <c r="FB11" t="str">
        <f>Grunddaten[[#This Row],[Partei/Wählergruppe]]</f>
        <v>AfD</v>
      </c>
      <c r="FC11">
        <f>Grunddaten[[#This Row],[Sitze im Hauptorgan]]</f>
        <v>4</v>
      </c>
      <c r="FD11">
        <f>TabPatt[[#This Row],[Stimmen]]</f>
        <v>2345</v>
      </c>
      <c r="FE11" t="str">
        <f>IF(Grunddaten[[#This Row],[AG?]]=FE$6,MID(Grunddaten[[#This Row],[Partei/Wählergruppe]],1,3),"")</f>
        <v/>
      </c>
      <c r="FF11" t="str">
        <f>IF(Grunddaten[[#This Row],[AG?]]=FF$6,MID(Grunddaten[[#This Row],[Partei/Wählergruppe]],1,3),"")</f>
        <v/>
      </c>
      <c r="FG11" t="str">
        <f>IF(Grunddaten[[#This Row],[AG?]]=FG$6,MID(Grunddaten[[#This Row],[Partei/Wählergruppe]],1,3),"")</f>
        <v/>
      </c>
      <c r="FH11" t="str">
        <f>IF(Grunddaten[[#This Row],[AG?]]=FH$6,MID(Grunddaten[[#This Row],[Partei/Wählergruppe]],1,3),"")</f>
        <v/>
      </c>
      <c r="FI11" s="154">
        <f>TabHN[[#This Row],[Sitze]]+TabHN[[#This Row],[Patt Auflösung]]</f>
        <v>1</v>
      </c>
      <c r="FJ11" s="154">
        <f>TabSLS[[#This Row],[Sitze]]+TabSLS[[#This Row],[Patt Auflösung]]</f>
        <v>1</v>
      </c>
      <c r="FK11" s="154">
        <f>TabDH[[#This Row],[Sitze]]+TabDH[[#This Row],[Patt Auflösung]]</f>
        <v>1</v>
      </c>
      <c r="FL11" s="154">
        <f t="shared" si="2"/>
        <v>1</v>
      </c>
      <c r="FM11" s="154">
        <f t="shared" si="3"/>
        <v>1</v>
      </c>
      <c r="FN11" t="str">
        <f t="shared" si="4"/>
        <v>SITZ!</v>
      </c>
    </row>
    <row r="12" spans="1:176" x14ac:dyDescent="0.25">
      <c r="A12" s="3"/>
      <c r="B12" s="56" t="s">
        <v>5</v>
      </c>
      <c r="C12" s="71">
        <v>3</v>
      </c>
      <c r="D12" s="71" t="s">
        <v>175</v>
      </c>
      <c r="E12" s="93">
        <f>Grunddaten[[#This Row],[Sitze im Hauptorgan]]/Grunddaten[[#Totals],[Sitze im Hauptorgan]]*Sitze_Ausschuss</f>
        <v>0.6</v>
      </c>
      <c r="F12" s="110" t="b">
        <f>OR(Grunddaten[[#This Row],[Proporzgenaue Zahl Ausschuss]]&gt;=1,Grunddaten[[#This Row],[Sitze im Hauptorgan]]&gt;Sitze_Hauptorgan/(1+Sitze_Ausschuss))</f>
        <v>0</v>
      </c>
      <c r="G12" s="159" t="str">
        <f>IF(ROUNDDOWN(Grunddaten[[#This Row],[Proporzgenaue Zahl Ausschuss]],0)&lt;&gt;ROUNDUP(Grunddaten[[#This Row],[Proporzgenaue Zahl Ausschuss]],0), ROUNDDOWN(Grunddaten[[#This Row],[Proporzgenaue Zahl Ausschuss]],0)&amp;" oder "&amp;ROUNDUP(Grunddaten[[#This Row],[Proporzgenaue Zahl Ausschuss]],0),ROUND(Grunddaten[[#This Row],[Proporzgenaue Zahl Ausschuss]],0))</f>
        <v>0 oder 1</v>
      </c>
      <c r="H12" s="52" t="str">
        <f t="shared" si="0"/>
        <v>OK</v>
      </c>
      <c r="I12" s="52" t="str">
        <f>IF(TabSLS[[#This Row],[QK verletzt]],"NOK","OK")</f>
        <v>OK</v>
      </c>
      <c r="J12" s="53" t="str">
        <f>IF(TabDH[[#This Row],[QK verletzt]],"NOK","OK")</f>
        <v>OK</v>
      </c>
      <c r="K12" s="3"/>
      <c r="L12" s="92">
        <f>TabHN[[#This Row],[S ganz]]+IF(NOT(TabHN[[#This Row],[Patt]]),TabHN[[#This Row],[Restsitz]],0)</f>
        <v>1</v>
      </c>
      <c r="M12" s="29">
        <f>IF(TabHN[[#This Row],[Patt]],IF(Pattaufloesung="Los-Chance",TabHN[[#This Row],[Los Chance]],TabHN[[#This Row],[Pattgewinn]]+0),0)</f>
        <v>0</v>
      </c>
      <c r="N12" s="30">
        <f>INT(Grunddaten[[#This Row],[Proporzgenaue Zahl Ausschuss]])</f>
        <v>0</v>
      </c>
      <c r="O12" s="31">
        <f>ROUND(Grunddaten[[#This Row],[Proporzgenaue Zahl Ausschuss]]-TabHN[[#This Row],[S ganz]],4)</f>
        <v>0.6</v>
      </c>
      <c r="P12" s="32">
        <f>_xlfn.RANK.EQ(TabHN[[#This Row],[S Rest]],TabHN[S Rest],0)</f>
        <v>2</v>
      </c>
      <c r="Q12" s="30">
        <f>IF(TabHN[[#This Row],[Rng Rest]]&lt;=TabHN[[#Totals],[S Rest]],1,0)</f>
        <v>1</v>
      </c>
      <c r="R12" s="30" t="b">
        <f>AND(TabHN[[#This Row],[Restsitz]]=1,(COUNTIF(TabHN[Rng Rest],TabHN[[#This Row],[Rng Rest]])+TabHN[[#This Row],[Rng Rest]]-1)&gt;TabHN[[#Totals],[S Rest]])</f>
        <v>0</v>
      </c>
      <c r="S12" s="33">
        <f>IF(TabHN[[#This Row],[Patt]],(Sitze_Ausschuss-SUM(TabHN[Sitze]))/TabHN[[#Totals],[Patt]],0)</f>
        <v>0</v>
      </c>
      <c r="T12" s="34">
        <f>TabHN[[#This Row],[Patt]]*IF(Pattaufloesung="Stimmen",TabPatt[[#This Row],[Stimmen]],0)*1</f>
        <v>0</v>
      </c>
      <c r="U12" s="35" t="b">
        <f>_xlfn.RANK.EQ(TabHN[[#This Row],[Stimmen/Gelost]],TabHN[Stimmen/Gelost],0)&lt;=(Sitze_Ausschuss-SUM(TabHN[Sitze]))</f>
        <v>1</v>
      </c>
      <c r="V12" s="3"/>
      <c r="W12" s="36">
        <f>COUNTIF(TabSLS[[#This Row],[SP1]:[SP37]],"SITZ")</f>
        <v>1</v>
      </c>
      <c r="X12" s="37">
        <f>IF(TabSLS[[#This Row],[Patt?]],IF(Pattaufloesung="Los-Chance",TabSLS[[#This Row],[Los Chance]],TabSLS[[#This Row],[Pattgewinn]]+0),0)</f>
        <v>0</v>
      </c>
      <c r="Y12" s="38">
        <f>Grunddaten[[#This Row],[Sitze im Hauptorgan]]/_xlfn.NUMBERVALUE(MID(INDEX(TabSLS[[#Headers],[:1]:[:37]],COLUMN()-COLUMN(TabSLS[[#Headers],[:1]])+1),2,3))</f>
        <v>3</v>
      </c>
      <c r="Z12" s="39">
        <f>Grunddaten[[#This Row],[Sitze im Hauptorgan]]/_xlfn.NUMBERVALUE(MID(INDEX(TabSLS[[#Headers],[:1]:[:37]],COLUMN()-COLUMN(TabSLS[[#Headers],[:1]])+1),2,3))</f>
        <v>1</v>
      </c>
      <c r="AA12" s="39">
        <f>Grunddaten[[#This Row],[Sitze im Hauptorgan]]/_xlfn.NUMBERVALUE(MID(INDEX(TabSLS[[#Headers],[:1]:[:37]],COLUMN()-COLUMN(TabSLS[[#Headers],[:1]])+1),2,3))</f>
        <v>0.6</v>
      </c>
      <c r="AB12" s="39">
        <f>Grunddaten[[#This Row],[Sitze im Hauptorgan]]/_xlfn.NUMBERVALUE(MID(INDEX(TabSLS[[#Headers],[:1]:[:37]],COLUMN()-COLUMN(TabSLS[[#Headers],[:1]])+1),2,3))</f>
        <v>0.42857142857142855</v>
      </c>
      <c r="AC12" s="39">
        <f>Grunddaten[[#This Row],[Sitze im Hauptorgan]]/_xlfn.NUMBERVALUE(MID(INDEX(TabSLS[[#Headers],[:1]:[:37]],COLUMN()-COLUMN(TabSLS[[#Headers],[:1]])+1),2,3))</f>
        <v>0.33333333333333331</v>
      </c>
      <c r="AD12" s="39">
        <f>Grunddaten[[#This Row],[Sitze im Hauptorgan]]/_xlfn.NUMBERVALUE(MID(INDEX(TabSLS[[#Headers],[:1]:[:37]],COLUMN()-COLUMN(TabSLS[[#Headers],[:1]])+1),2,3))</f>
        <v>0.27272727272727271</v>
      </c>
      <c r="AE12" s="39">
        <f>Grunddaten[[#This Row],[Sitze im Hauptorgan]]/_xlfn.NUMBERVALUE(MID(INDEX(TabSLS[[#Headers],[:1]:[:37]],COLUMN()-COLUMN(TabSLS[[#Headers],[:1]])+1),2,3))</f>
        <v>0.23076923076923078</v>
      </c>
      <c r="AF12" s="39">
        <f>Grunddaten[[#This Row],[Sitze im Hauptorgan]]/_xlfn.NUMBERVALUE(MID(INDEX(TabSLS[[#Headers],[:1]:[:37]],COLUMN()-COLUMN(TabSLS[[#Headers],[:1]])+1),2,3))</f>
        <v>0.2</v>
      </c>
      <c r="AG12" s="39">
        <f>Grunddaten[[#This Row],[Sitze im Hauptorgan]]/_xlfn.NUMBERVALUE(MID(INDEX(TabSLS[[#Headers],[:1]:[:37]],COLUMN()-COLUMN(TabSLS[[#Headers],[:1]])+1),2,3))</f>
        <v>0.17647058823529413</v>
      </c>
      <c r="AH12" s="39">
        <f>Grunddaten[[#This Row],[Sitze im Hauptorgan]]/_xlfn.NUMBERVALUE(MID(INDEX(TabSLS[[#Headers],[:1]:[:37]],COLUMN()-COLUMN(TabSLS[[#Headers],[:1]])+1),2,3))</f>
        <v>0.15789473684210525</v>
      </c>
      <c r="AI12" s="39">
        <f>Grunddaten[[#This Row],[Sitze im Hauptorgan]]/_xlfn.NUMBERVALUE(MID(INDEX(TabSLS[[#Headers],[:1]:[:37]],COLUMN()-COLUMN(TabSLS[[#Headers],[:1]])+1),2,3))</f>
        <v>0.14285714285714285</v>
      </c>
      <c r="AJ12" s="39">
        <f>Grunddaten[[#This Row],[Sitze im Hauptorgan]]/_xlfn.NUMBERVALUE(MID(INDEX(TabSLS[[#Headers],[:1]:[:37]],COLUMN()-COLUMN(TabSLS[[#Headers],[:1]])+1),2,3))</f>
        <v>0.13043478260869565</v>
      </c>
      <c r="AK12" s="39">
        <f>Grunddaten[[#This Row],[Sitze im Hauptorgan]]/_xlfn.NUMBERVALUE(MID(INDEX(TabSLS[[#Headers],[:1]:[:37]],COLUMN()-COLUMN(TabSLS[[#Headers],[:1]])+1),2,3))</f>
        <v>0.12</v>
      </c>
      <c r="AL12" s="39">
        <f>Grunddaten[[#This Row],[Sitze im Hauptorgan]]/_xlfn.NUMBERVALUE(MID(INDEX(TabSLS[[#Headers],[:1]:[:37]],COLUMN()-COLUMN(TabSLS[[#Headers],[:1]])+1),2,3))</f>
        <v>0.1111111111111111</v>
      </c>
      <c r="AM12" s="39">
        <f>Grunddaten[[#This Row],[Sitze im Hauptorgan]]/_xlfn.NUMBERVALUE(MID(INDEX(TabSLS[[#Headers],[:1]:[:37]],COLUMN()-COLUMN(TabSLS[[#Headers],[:1]])+1),2,3))</f>
        <v>0.10344827586206896</v>
      </c>
      <c r="AN12" s="39">
        <f>Grunddaten[[#This Row],[Sitze im Hauptorgan]]/_xlfn.NUMBERVALUE(MID(INDEX(TabSLS[[#Headers],[:1]:[:37]],COLUMN()-COLUMN(TabSLS[[#Headers],[:1]])+1),2,3))</f>
        <v>9.6774193548387094E-2</v>
      </c>
      <c r="AO12" s="39">
        <f>Grunddaten[[#This Row],[Sitze im Hauptorgan]]/_xlfn.NUMBERVALUE(MID(INDEX(TabSLS[[#Headers],[:1]:[:37]],COLUMN()-COLUMN(TabSLS[[#Headers],[:1]])+1),2,3))</f>
        <v>9.0909090909090912E-2</v>
      </c>
      <c r="AP12" s="39">
        <f>Grunddaten[[#This Row],[Sitze im Hauptorgan]]/_xlfn.NUMBERVALUE(MID(INDEX(TabSLS[[#Headers],[:1]:[:37]],COLUMN()-COLUMN(TabSLS[[#Headers],[:1]])+1),2,3))</f>
        <v>8.5714285714285715E-2</v>
      </c>
      <c r="AQ12" s="40">
        <f>Grunddaten[[#This Row],[Sitze im Hauptorgan]]/_xlfn.NUMBERVALUE(MID(INDEX(TabSLS[[#Headers],[:1]:[:37]],COLUMN()-COLUMN(TabSLS[[#Headers],[:1]])+1),2,3))</f>
        <v>8.1081081081081086E-2</v>
      </c>
      <c r="AR12" s="41">
        <f>_xlfn.RANK.EQ(TabSLS[[#This Row],[:1]],TabSLS[[:1]:[:37]],0)</f>
        <v>11</v>
      </c>
      <c r="AS12" s="42">
        <f>_xlfn.RANK.EQ(TabSLS[[#This Row],[:3]],TabSLS[[:1]:[:37]],0)</f>
        <v>35</v>
      </c>
      <c r="AT12" s="42">
        <f>_xlfn.RANK.EQ(TabSLS[[#This Row],[:5]],TabSLS[[:1]:[:37]],0)</f>
        <v>60</v>
      </c>
      <c r="AU12" s="42">
        <f>_xlfn.RANK.EQ(TabSLS[[#This Row],[:7]],TabSLS[[:1]:[:37]],0)</f>
        <v>77</v>
      </c>
      <c r="AV12" s="42">
        <f>_xlfn.RANK.EQ(TabSLS[[#This Row],[:9]],TabSLS[[:1]:[:37]],0)</f>
        <v>89</v>
      </c>
      <c r="AW12" s="42">
        <f>_xlfn.RANK.EQ(TabSLS[[#This Row],[:11]],TabSLS[[:1]:[:37]],0)</f>
        <v>102</v>
      </c>
      <c r="AX12" s="42">
        <f>_xlfn.RANK.EQ(TabSLS[[#This Row],[:13]],TabSLS[[:1]:[:37]],0)</f>
        <v>108</v>
      </c>
      <c r="AY12" s="42">
        <f>_xlfn.RANK.EQ(TabSLS[[#This Row],[:15]],TabSLS[[:1]:[:37]],0)</f>
        <v>116</v>
      </c>
      <c r="AZ12" s="42">
        <f>_xlfn.RANK.EQ(TabSLS[[#This Row],[:17]],TabSLS[[:1]:[:37]],0)</f>
        <v>123</v>
      </c>
      <c r="BA12" s="42">
        <f>_xlfn.RANK.EQ(TabSLS[[#This Row],[:19]],TabSLS[[:1]:[:37]],0)</f>
        <v>126</v>
      </c>
      <c r="BB12" s="42">
        <f>_xlfn.RANK.EQ(TabSLS[[#This Row],[:21]],TabSLS[[:1]:[:37]],0)</f>
        <v>132</v>
      </c>
      <c r="BC12" s="42">
        <f>_xlfn.RANK.EQ(TabSLS[[#This Row],[:23]],TabSLS[[:1]:[:37]],0)</f>
        <v>139</v>
      </c>
      <c r="BD12" s="42">
        <f>_xlfn.RANK.EQ(TabSLS[[#This Row],[:25]],TabSLS[[:1]:[:37]],0)</f>
        <v>142</v>
      </c>
      <c r="BE12" s="42">
        <f>_xlfn.RANK.EQ(TabSLS[[#This Row],[:27]],TabSLS[[:1]:[:37]],0)</f>
        <v>148</v>
      </c>
      <c r="BF12" s="42">
        <f>_xlfn.RANK.EQ(TabSLS[[#This Row],[:29]],TabSLS[[:1]:[:37]],0)</f>
        <v>155</v>
      </c>
      <c r="BG12" s="42">
        <f>_xlfn.RANK.EQ(TabSLS[[#This Row],[:31]],TabSLS[[:1]:[:37]],0)</f>
        <v>156</v>
      </c>
      <c r="BH12" s="42">
        <f>_xlfn.RANK.EQ(TabSLS[[#This Row],[:33]],TabSLS[[:1]:[:37]],0)</f>
        <v>161</v>
      </c>
      <c r="BI12" s="42">
        <f>_xlfn.RANK.EQ(TabSLS[[#This Row],[:35]],TabSLS[[:1]:[:37]],0)</f>
        <v>167</v>
      </c>
      <c r="BJ12" s="43">
        <f>_xlfn.RANK.EQ(TabSLS[[#This Row],[:37]],TabSLS[[:1]:[:37]],0)</f>
        <v>168</v>
      </c>
      <c r="BK12" s="44" t="str">
        <f>IF(TabSLS[[#This Row],[R1]]&lt;=Sitze_Ausschuss,IF(TabSLS[[#This Row],[R1]]+COUNTIF(TabSLS[[R1]:[R37]],TabSLS[[#This Row],[R1]])-1&lt;=Sitze_Ausschuss,"SITZ","PATT"),"")</f>
        <v>SITZ</v>
      </c>
      <c r="BL12" s="45" t="str">
        <f>IF(TabSLS[[#This Row],[R3]]&lt;=Sitze_Ausschuss,IF(TabSLS[[#This Row],[R3]]+COUNTIF(TabSLS[[R1]:[R37]],TabSLS[[#This Row],[R3]])-1&lt;=Sitze_Ausschuss,"SITZ","PATT"),"")</f>
        <v/>
      </c>
      <c r="BM12" s="45" t="str">
        <f>IF(TabSLS[[#This Row],[R5]]&lt;=Sitze_Ausschuss,IF(TabSLS[[#This Row],[R5]]+COUNTIF(TabSLS[[R1]:[R37]],TabSLS[[#This Row],[R5]])-1&lt;=Sitze_Ausschuss,"SITZ","PATT"),"")</f>
        <v/>
      </c>
      <c r="BN12" s="45" t="str">
        <f>IF(TabSLS[[#This Row],[R7]]&lt;=Sitze_Ausschuss,IF(TabSLS[[#This Row],[R7]]+COUNTIF(TabSLS[[R1]:[R37]],TabSLS[[#This Row],[R7]])-1&lt;=Sitze_Ausschuss,"SITZ","PATT"),"")</f>
        <v/>
      </c>
      <c r="BO12" s="45" t="str">
        <f>IF(TabSLS[[#This Row],[R9]]&lt;=Sitze_Ausschuss,IF(TabSLS[[#This Row],[R9]]+COUNTIF(TabSLS[[R1]:[R37]],TabSLS[[#This Row],[R9]])-1&lt;=Sitze_Ausschuss,"SITZ","PATT"),"")</f>
        <v/>
      </c>
      <c r="BP12" s="45" t="str">
        <f>IF(TabSLS[[#This Row],[R11]]&lt;=Sitze_Ausschuss,IF(TabSLS[[#This Row],[R11]]+COUNTIF(TabSLS[[R1]:[R37]],TabSLS[[#This Row],[R11]])-1&lt;=Sitze_Ausschuss,"SITZ","PATT"),"")</f>
        <v/>
      </c>
      <c r="BQ12" s="45" t="str">
        <f>IF(TabSLS[[#This Row],[R13]]&lt;=Sitze_Ausschuss,IF(TabSLS[[#This Row],[R13]]+COUNTIF(TabSLS[[R1]:[R37]],TabSLS[[#This Row],[R13]])-1&lt;=Sitze_Ausschuss,"SITZ","PATT"),"")</f>
        <v/>
      </c>
      <c r="BR12" s="45" t="str">
        <f>IF(TabSLS[[#This Row],[R15]]&lt;=Sitze_Ausschuss,IF(TabSLS[[#This Row],[R15]]+COUNTIF(TabSLS[[R1]:[R37]],TabSLS[[#This Row],[R15]])-1&lt;=Sitze_Ausschuss,"SITZ","PATT"),"")</f>
        <v/>
      </c>
      <c r="BS12" s="45" t="str">
        <f>IF(TabSLS[[#This Row],[R17]]&lt;=Sitze_Ausschuss,IF(TabSLS[[#This Row],[R17]]+COUNTIF(TabSLS[[R1]:[R37]],TabSLS[[#This Row],[R17]])-1&lt;=Sitze_Ausschuss,"SITZ","PATT"),"")</f>
        <v/>
      </c>
      <c r="BT12" s="45" t="str">
        <f>IF(TabSLS[[#This Row],[R19]]&lt;=Sitze_Ausschuss,IF(TabSLS[[#This Row],[R19]]+COUNTIF(TabSLS[[R1]:[R37]],TabSLS[[#This Row],[R19]])-1&lt;=Sitze_Ausschuss,"SITZ","PATT"),"")</f>
        <v/>
      </c>
      <c r="BU12" s="45" t="str">
        <f>IF(TabSLS[[#This Row],[R21]]&lt;=Sitze_Ausschuss,IF(TabSLS[[#This Row],[R21]]+COUNTIF(TabSLS[[R1]:[R37]],TabSLS[[#This Row],[R21]])-1&lt;=Sitze_Ausschuss,"SITZ","PATT"),"")</f>
        <v/>
      </c>
      <c r="BV12" s="45" t="str">
        <f>IF(TabSLS[[#This Row],[R23]]&lt;=Sitze_Ausschuss,IF(TabSLS[[#This Row],[R23]]+COUNTIF(TabSLS[[R1]:[R37]],TabSLS[[#This Row],[R23]])-1&lt;=Sitze_Ausschuss,"SITZ","PATT"),"")</f>
        <v/>
      </c>
      <c r="BW12" s="45" t="str">
        <f>IF(TabSLS[[#This Row],[R25]]&lt;=Sitze_Ausschuss,IF(TabSLS[[#This Row],[R25]]+COUNTIF(TabSLS[[R1]:[R37]],TabSLS[[#This Row],[R25]])-1&lt;=Sitze_Ausschuss,"SITZ","PATT"),"")</f>
        <v/>
      </c>
      <c r="BX12" s="45" t="str">
        <f>IF(TabSLS[[#This Row],[R27]]&lt;=Sitze_Ausschuss,IF(TabSLS[[#This Row],[R27]]+COUNTIF(TabSLS[[R1]:[R37]],TabSLS[[#This Row],[R27]])-1&lt;=Sitze_Ausschuss,"SITZ","PATT"),"")</f>
        <v/>
      </c>
      <c r="BY12" s="45" t="str">
        <f>IF(TabSLS[[#This Row],[R29]]&lt;=Sitze_Ausschuss,IF(TabSLS[[#This Row],[R29]]+COUNTIF(TabSLS[[R1]:[R37]],TabSLS[[#This Row],[R29]])-1&lt;=Sitze_Ausschuss,"SITZ","PATT"),"")</f>
        <v/>
      </c>
      <c r="BZ12" s="45" t="str">
        <f>IF(TabSLS[[#This Row],[R31]]&lt;=Sitze_Ausschuss,IF(TabSLS[[#This Row],[R31]]+COUNTIF(TabSLS[[R1]:[R37]],TabSLS[[#This Row],[R31]])-1&lt;=Sitze_Ausschuss,"SITZ","PATT"),"")</f>
        <v/>
      </c>
      <c r="CA12" s="45" t="str">
        <f>IF(TabSLS[[#This Row],[R33]]&lt;=Sitze_Ausschuss,IF(TabSLS[[#This Row],[R33]]+COUNTIF(TabSLS[[R1]:[R37]],TabSLS[[#This Row],[R33]])-1&lt;=Sitze_Ausschuss,"SITZ","PATT"),"")</f>
        <v/>
      </c>
      <c r="CB12" s="45" t="str">
        <f>IF(TabSLS[[#This Row],[R35]]&lt;=Sitze_Ausschuss,IF(TabSLS[[#This Row],[R35]]+COUNTIF(TabSLS[[R1]:[R37]],TabSLS[[#This Row],[R35]])-1&lt;=Sitze_Ausschuss,"SITZ","PATT"),"")</f>
        <v/>
      </c>
      <c r="CC12" s="46" t="str">
        <f>IF(TabSLS[[#This Row],[R37]]&lt;=Sitze_Ausschuss,IF(TabSLS[[#This Row],[R37]]+COUNTIF(TabSLS[[R1]:[R37]],TabSLS[[#This Row],[R37]])-1&lt;=Sitze_Ausschuss,"SITZ","PATT"),"")</f>
        <v/>
      </c>
      <c r="CD12" s="47" t="b">
        <f>COUNTIF(TabSLS[[#This Row],[SP1]:[SP37]],"PATT")&gt;0</f>
        <v>0</v>
      </c>
      <c r="CE12" s="33">
        <f>IF(TabSLS[[#This Row],[Patt?]],(Sitze_Ausschuss-SUM(TabSLS[Sitze]))/TabSLS[[#Totals],[Patt?]],0)</f>
        <v>0</v>
      </c>
      <c r="CF12" s="48">
        <f>TabSLS[[#This Row],[Patt?]]*IF(Pattaufloesung="Stimmen",TabPatt[[#This Row],[Stimmen]],0)*1</f>
        <v>0</v>
      </c>
      <c r="CG12" s="49" t="b">
        <f>_xlfn.RANK.EQ(TabSLS[[#This Row],[Stimmen Gelost]],TabSLS[Stimmen Gelost],0)&lt;=(Sitze_Ausschuss-SUM(TabSLS[Sitze]))</f>
        <v>0</v>
      </c>
      <c r="CH12" s="50" t="b">
        <f>OR(TabSLS[[#This Row],[Sitze]]&lt;ROUNDDOWN(Grunddaten[[#This Row],[Proporzgenaue Zahl Ausschuss]],0),TabSLS[[#This Row],[Sitze]]+(TabSLS[[#This Row],[Patt?]]*1)&gt;ROUNDUP(Grunddaten[[#This Row],[Proporzgenaue Zahl Ausschuss]],0))</f>
        <v>0</v>
      </c>
      <c r="CI12" s="3"/>
      <c r="CJ12" s="36">
        <f>COUNTIF(TabDH[[#This Row],[SP1]:[SP19]],"SITZ")</f>
        <v>0</v>
      </c>
      <c r="CK12" s="37">
        <f>IF(TabDH[[#This Row],[Patt]],IF(Pattaufloesung="Los-Chance",TabDH[[#This Row],[Los Chance]],TabDH[[#This Row],[Pattgewinn]]+0),0)</f>
        <v>0</v>
      </c>
      <c r="CL12" s="38">
        <f>Grunddaten[[#This Row],[Sitze im Hauptorgan]]/_xlfn.NUMBERVALUE(MID(INDEX(TabDH[[#Headers],[:1]:[:19]],COLUMN()-COLUMN(TabDH[[#Headers],[:1]])+1),2,3))</f>
        <v>3</v>
      </c>
      <c r="CM12" s="39">
        <f>Grunddaten[[#This Row],[Sitze im Hauptorgan]]/_xlfn.NUMBERVALUE(MID(INDEX(TabDH[[#Headers],[:1]:[:19]],COLUMN()-COLUMN(TabDH[[#Headers],[:1]])+1),2,3))</f>
        <v>1.5</v>
      </c>
      <c r="CN12" s="39">
        <f>Grunddaten[[#This Row],[Sitze im Hauptorgan]]/_xlfn.NUMBERVALUE(MID(INDEX(TabDH[[#Headers],[:1]:[:19]],COLUMN()-COLUMN(TabDH[[#Headers],[:1]])+1),2,3))</f>
        <v>1</v>
      </c>
      <c r="CO12" s="39">
        <f>Grunddaten[[#This Row],[Sitze im Hauptorgan]]/_xlfn.NUMBERVALUE(MID(INDEX(TabDH[[#Headers],[:1]:[:19]],COLUMN()-COLUMN(TabDH[[#Headers],[:1]])+1),2,3))</f>
        <v>0.75</v>
      </c>
      <c r="CP12" s="39">
        <f>Grunddaten[[#This Row],[Sitze im Hauptorgan]]/_xlfn.NUMBERVALUE(MID(INDEX(TabDH[[#Headers],[:1]:[:19]],COLUMN()-COLUMN(TabDH[[#Headers],[:1]])+1),2,3))</f>
        <v>0.6</v>
      </c>
      <c r="CQ12" s="39">
        <f>Grunddaten[[#This Row],[Sitze im Hauptorgan]]/_xlfn.NUMBERVALUE(MID(INDEX(TabDH[[#Headers],[:1]:[:19]],COLUMN()-COLUMN(TabDH[[#Headers],[:1]])+1),2,3))</f>
        <v>0.5</v>
      </c>
      <c r="CR12" s="39">
        <f>Grunddaten[[#This Row],[Sitze im Hauptorgan]]/_xlfn.NUMBERVALUE(MID(INDEX(TabDH[[#Headers],[:1]:[:19]],COLUMN()-COLUMN(TabDH[[#Headers],[:1]])+1),2,3))</f>
        <v>0.42857142857142855</v>
      </c>
      <c r="CS12" s="39">
        <f>Grunddaten[[#This Row],[Sitze im Hauptorgan]]/_xlfn.NUMBERVALUE(MID(INDEX(TabDH[[#Headers],[:1]:[:19]],COLUMN()-COLUMN(TabDH[[#Headers],[:1]])+1),2,3))</f>
        <v>0.375</v>
      </c>
      <c r="CT12" s="39">
        <f>Grunddaten[[#This Row],[Sitze im Hauptorgan]]/_xlfn.NUMBERVALUE(MID(INDEX(TabDH[[#Headers],[:1]:[:19]],COLUMN()-COLUMN(TabDH[[#Headers],[:1]])+1),2,3))</f>
        <v>0.33333333333333331</v>
      </c>
      <c r="CU12" s="39">
        <f>Grunddaten[[#This Row],[Sitze im Hauptorgan]]/_xlfn.NUMBERVALUE(MID(INDEX(TabDH[[#Headers],[:1]:[:19]],COLUMN()-COLUMN(TabDH[[#Headers],[:1]])+1),2,3))</f>
        <v>0.3</v>
      </c>
      <c r="CV12" s="39">
        <f>Grunddaten[[#This Row],[Sitze im Hauptorgan]]/_xlfn.NUMBERVALUE(MID(INDEX(TabDH[[#Headers],[:1]:[:19]],COLUMN()-COLUMN(TabDH[[#Headers],[:1]])+1),2,3))</f>
        <v>0.27272727272727271</v>
      </c>
      <c r="CW12" s="39">
        <f>Grunddaten[[#This Row],[Sitze im Hauptorgan]]/_xlfn.NUMBERVALUE(MID(INDEX(TabDH[[#Headers],[:1]:[:19]],COLUMN()-COLUMN(TabDH[[#Headers],[:1]])+1),2,3))</f>
        <v>0.25</v>
      </c>
      <c r="CX12" s="39">
        <f>Grunddaten[[#This Row],[Sitze im Hauptorgan]]/_xlfn.NUMBERVALUE(MID(INDEX(TabDH[[#Headers],[:1]:[:19]],COLUMN()-COLUMN(TabDH[[#Headers],[:1]])+1),2,3))</f>
        <v>0.23076923076923078</v>
      </c>
      <c r="CY12" s="39">
        <f>Grunddaten[[#This Row],[Sitze im Hauptorgan]]/_xlfn.NUMBERVALUE(MID(INDEX(TabDH[[#Headers],[:1]:[:19]],COLUMN()-COLUMN(TabDH[[#Headers],[:1]])+1),2,3))</f>
        <v>0.21428571428571427</v>
      </c>
      <c r="CZ12" s="39">
        <f>Grunddaten[[#This Row],[Sitze im Hauptorgan]]/_xlfn.NUMBERVALUE(MID(INDEX(TabDH[[#Headers],[:1]:[:19]],COLUMN()-COLUMN(TabDH[[#Headers],[:1]])+1),2,3))</f>
        <v>0.2</v>
      </c>
      <c r="DA12" s="39">
        <f>Grunddaten[[#This Row],[Sitze im Hauptorgan]]/_xlfn.NUMBERVALUE(MID(INDEX(TabDH[[#Headers],[:1]:[:19]],COLUMN()-COLUMN(TabDH[[#Headers],[:1]])+1),2,3))</f>
        <v>0.1875</v>
      </c>
      <c r="DB12" s="39">
        <f>Grunddaten[[#This Row],[Sitze im Hauptorgan]]/_xlfn.NUMBERVALUE(MID(INDEX(TabDH[[#Headers],[:1]:[:19]],COLUMN()-COLUMN(TabDH[[#Headers],[:1]])+1),2,3))</f>
        <v>0.17647058823529413</v>
      </c>
      <c r="DC12" s="39">
        <f>Grunddaten[[#This Row],[Sitze im Hauptorgan]]/_xlfn.NUMBERVALUE(MID(INDEX(TabDH[[#Headers],[:1]:[:19]],COLUMN()-COLUMN(TabDH[[#Headers],[:1]])+1),2,3))</f>
        <v>0.16666666666666666</v>
      </c>
      <c r="DD12" s="40">
        <f>Grunddaten[[#This Row],[Sitze im Hauptorgan]]/_xlfn.NUMBERVALUE(MID(INDEX(TabDH[[#Headers],[:1]:[:19]],COLUMN()-COLUMN(TabDH[[#Headers],[:1]])+1),2,3))</f>
        <v>0.15789473684210525</v>
      </c>
      <c r="DE12" s="41">
        <f>_xlfn.RANK.EQ(TabDH[[#This Row],[:1]],TabDH[[:1]:[:19]],0)</f>
        <v>18</v>
      </c>
      <c r="DF12" s="42">
        <f>_xlfn.RANK.EQ(TabDH[[#This Row],[:2]],TabDH[[:1]:[:19]],0)</f>
        <v>42</v>
      </c>
      <c r="DG12" s="42">
        <f>_xlfn.RANK.EQ(TabDH[[#This Row],[:3]],TabDH[[:1]:[:19]],0)</f>
        <v>60</v>
      </c>
      <c r="DH12" s="42">
        <f>_xlfn.RANK.EQ(TabDH[[#This Row],[:4]],TabDH[[:1]:[:19]],0)</f>
        <v>79</v>
      </c>
      <c r="DI12" s="42">
        <f>_xlfn.RANK.EQ(TabDH[[#This Row],[:5]],TabDH[[:1]:[:19]],0)</f>
        <v>91</v>
      </c>
      <c r="DJ12" s="42">
        <f>_xlfn.RANK.EQ(TabDH[[#This Row],[:6]],TabDH[[:1]:[:19]],0)</f>
        <v>98</v>
      </c>
      <c r="DK12" s="42">
        <f>_xlfn.RANK.EQ(TabDH[[#This Row],[:7]],TabDH[[:1]:[:19]],0)</f>
        <v>109</v>
      </c>
      <c r="DL12" s="42">
        <f>_xlfn.RANK.EQ(TabDH[[#This Row],[:8]],TabDH[[:1]:[:19]],0)</f>
        <v>116</v>
      </c>
      <c r="DM12" s="42">
        <f>_xlfn.RANK.EQ(TabDH[[#This Row],[:9]],TabDH[[:1]:[:19]],0)</f>
        <v>118</v>
      </c>
      <c r="DN12" s="42">
        <f>_xlfn.RANK.EQ(TabDH[[#This Row],[:10]],TabDH[[:1]:[:19]],0)</f>
        <v>126</v>
      </c>
      <c r="DO12" s="42">
        <f>_xlfn.RANK.EQ(TabDH[[#This Row],[:11]],TabDH[[:1]:[:19]],0)</f>
        <v>132</v>
      </c>
      <c r="DP12" s="42">
        <f>_xlfn.RANK.EQ(TabDH[[#This Row],[:12]],TabDH[[:1]:[:19]],0)</f>
        <v>134</v>
      </c>
      <c r="DQ12" s="42">
        <f>_xlfn.RANK.EQ(TabDH[[#This Row],[:13]],TabDH[[:1]:[:19]],0)</f>
        <v>142</v>
      </c>
      <c r="DR12" s="42">
        <f>_xlfn.RANK.EQ(TabDH[[#This Row],[:14]],TabDH[[:1]:[:19]],0)</f>
        <v>148</v>
      </c>
      <c r="DS12" s="42">
        <f>_xlfn.RANK.EQ(TabDH[[#This Row],[:15]],TabDH[[:1]:[:19]],0)</f>
        <v>150</v>
      </c>
      <c r="DT12" s="42">
        <f>_xlfn.RANK.EQ(TabDH[[#This Row],[:16]],TabDH[[:1]:[:19]],0)</f>
        <v>156</v>
      </c>
      <c r="DU12" s="42">
        <f>_xlfn.RANK.EQ(TabDH[[#This Row],[:17]],TabDH[[:1]:[:19]],0)</f>
        <v>161</v>
      </c>
      <c r="DV12" s="42">
        <f>_xlfn.RANK.EQ(TabDH[[#This Row],[:18]],TabDH[[:1]:[:19]],0)</f>
        <v>162</v>
      </c>
      <c r="DW12" s="43">
        <f>_xlfn.RANK.EQ(TabDH[[#This Row],[:19]],TabDH[[:1]:[:19]],0)</f>
        <v>168</v>
      </c>
      <c r="DX12" s="44" t="str">
        <f>IF(TabDH[[#This Row],[R1]]&lt;=Sitze_Ausschuss,IF(TabDH[[#This Row],[R1]]+COUNTIF(TabDH[[R1]:[R19]],TabDH[[#This Row],[R1]])-1&lt;=Sitze_Ausschuss,"SITZ","PATT"),"")</f>
        <v/>
      </c>
      <c r="DY12" s="45" t="str">
        <f>IF(TabDH[[#This Row],[R2]]&lt;=Sitze_Ausschuss,IF(TabDH[[#This Row],[R2]]+COUNTIF(TabDH[[R1]:[R19]],TabDH[[#This Row],[R2]])-1&lt;=Sitze_Ausschuss,"SITZ","PATT"),"")</f>
        <v/>
      </c>
      <c r="DZ12" s="45" t="str">
        <f>IF(TabDH[[#This Row],[R3]]&lt;=Sitze_Ausschuss,IF(TabDH[[#This Row],[R3]]+COUNTIF(TabDH[[R1]:[R19]],TabDH[[#This Row],[R3]])-1&lt;=Sitze_Ausschuss,"SITZ","PATT"),"")</f>
        <v/>
      </c>
      <c r="EA12" s="45" t="str">
        <f>IF(TabDH[[#This Row],[R4]]&lt;=Sitze_Ausschuss,IF(TabDH[[#This Row],[R4]]+COUNTIF(TabDH[[R1]:[R19]],TabDH[[#This Row],[R4]])-1&lt;=Sitze_Ausschuss,"SITZ","PATT"),"")</f>
        <v/>
      </c>
      <c r="EB12" s="45" t="str">
        <f>IF(TabDH[[#This Row],[R5]]&lt;=Sitze_Ausschuss,IF(TabDH[[#This Row],[R5]]+COUNTIF(TabDH[[R1]:[R19]],TabDH[[#This Row],[R5]])-1&lt;=Sitze_Ausschuss,"SITZ","PATT"),"")</f>
        <v/>
      </c>
      <c r="EC12" s="45" t="str">
        <f>IF(TabDH[[#This Row],[R6]]&lt;=Sitze_Ausschuss,IF(TabDH[[#This Row],[R6]]+COUNTIF(TabDH[[R1]:[R19]],TabDH[[#This Row],[R6]])-1&lt;=Sitze_Ausschuss,"SITZ","PATT"),"")</f>
        <v/>
      </c>
      <c r="ED12" s="45" t="str">
        <f>IF(TabDH[[#This Row],[R7]]&lt;=Sitze_Ausschuss,IF(TabDH[[#This Row],[R7]]+COUNTIF(TabDH[[R1]:[R19]],TabDH[[#This Row],[R7]])-1&lt;=Sitze_Ausschuss,"SITZ","PATT"),"")</f>
        <v/>
      </c>
      <c r="EE12" s="45" t="str">
        <f>IF(TabDH[[#This Row],[R8]]&lt;=Sitze_Ausschuss,IF(TabDH[[#This Row],[R8]]+COUNTIF(TabDH[[R1]:[R19]],TabDH[[#This Row],[R8]])-1&lt;=Sitze_Ausschuss,"SITZ","PATT"),"")</f>
        <v/>
      </c>
      <c r="EF12" s="45" t="str">
        <f>IF(TabDH[[#This Row],[R9]]&lt;=Sitze_Ausschuss,IF(TabDH[[#This Row],[R9]]+COUNTIF(TabDH[[R1]:[R19]],TabDH[[#This Row],[R9]])-1&lt;=Sitze_Ausschuss,"SITZ","PATT"),"")</f>
        <v/>
      </c>
      <c r="EG12" s="45" t="str">
        <f>IF(TabDH[[#This Row],[R10]]&lt;=Sitze_Ausschuss,IF(TabDH[[#This Row],[R10]]+COUNTIF(TabDH[[R1]:[R19]],TabDH[[#This Row],[R10]])-1&lt;=Sitze_Ausschuss,"SITZ","PATT"),"")</f>
        <v/>
      </c>
      <c r="EH12" s="45" t="str">
        <f>IF(TabDH[[#This Row],[R11]]&lt;=Sitze_Ausschuss,IF(TabDH[[#This Row],[R11]]+COUNTIF(TabDH[[R1]:[R19]],TabDH[[#This Row],[R11]])-1&lt;=Sitze_Ausschuss,"SITZ","PATT"),"")</f>
        <v/>
      </c>
      <c r="EI12" s="45" t="str">
        <f>IF(TabDH[[#This Row],[R12]]&lt;=Sitze_Ausschuss,IF(TabDH[[#This Row],[R12]]+COUNTIF(TabDH[[R1]:[R19]],TabDH[[#This Row],[R12]])-1&lt;=Sitze_Ausschuss,"SITZ","PATT"),"")</f>
        <v/>
      </c>
      <c r="EJ12" s="45" t="str">
        <f>IF(TabDH[[#This Row],[R13]]&lt;=Sitze_Ausschuss,IF(TabDH[[#This Row],[R13]]+COUNTIF(TabDH[[R1]:[R19]],TabDH[[#This Row],[R13]])-1&lt;=Sitze_Ausschuss,"SITZ","PATT"),"")</f>
        <v/>
      </c>
      <c r="EK12" s="45" t="str">
        <f>IF(TabDH[[#This Row],[R14]]&lt;=Sitze_Ausschuss,IF(TabDH[[#This Row],[R14]]+COUNTIF(TabDH[[R1]:[R19]],TabDH[[#This Row],[R14]])-1&lt;=Sitze_Ausschuss,"SITZ","PATT"),"")</f>
        <v/>
      </c>
      <c r="EL12" s="45" t="str">
        <f>IF(TabDH[[#This Row],[R15]]&lt;=Sitze_Ausschuss,IF(TabDH[[#This Row],[R15]]+COUNTIF(TabDH[[R1]:[R19]],TabDH[[#This Row],[R15]])-1&lt;=Sitze_Ausschuss,"SITZ","PATT"),"")</f>
        <v/>
      </c>
      <c r="EM12" s="45" t="str">
        <f>IF(TabDH[[#This Row],[R16]]&lt;=Sitze_Ausschuss,IF(TabDH[[#This Row],[R16]]+COUNTIF(TabDH[[R1]:[R19]],TabDH[[#This Row],[R16]])-1&lt;=Sitze_Ausschuss,"SITZ","PATT"),"")</f>
        <v/>
      </c>
      <c r="EN12" s="45" t="str">
        <f>IF(TabDH[[#This Row],[R17]]&lt;=Sitze_Ausschuss,IF(TabDH[[#This Row],[R17]]+COUNTIF(TabDH[[R1]:[R19]],TabDH[[#This Row],[R17]])-1&lt;=Sitze_Ausschuss,"SITZ","PATT"),"")</f>
        <v/>
      </c>
      <c r="EO12" s="45" t="str">
        <f>IF(TabDH[[#This Row],[R18]]&lt;=Sitze_Ausschuss,IF(TabDH[[#This Row],[R18]]+COUNTIF(TabDH[[R1]:[R19]],TabDH[[#This Row],[R18]])-1&lt;=Sitze_Ausschuss,"SITZ","PATT"),"")</f>
        <v/>
      </c>
      <c r="EP12" s="45" t="str">
        <f>IF(TabDH[[#This Row],[R19]]&lt;=Sitze_Ausschuss,IF(TabDH[[#This Row],[R19]]+COUNTIF(TabDH[[R1]:[R19]],TabDH[[#This Row],[R19]])-1&lt;=Sitze_Ausschuss,"SITZ","PATT"),"")</f>
        <v/>
      </c>
      <c r="EQ12" s="47" t="b">
        <f>COUNTIF(TabDH[[#This Row],[SP1]:[SP19]],"PATT")&gt;0</f>
        <v>0</v>
      </c>
      <c r="ER12" s="33">
        <f>IF(TabDH[[#This Row],[Patt]],(Sitze_Ausschuss-SUM(TabDH[Sitze]))/TabDH[[#Totals],[Patt]],0)</f>
        <v>0</v>
      </c>
      <c r="ES12" s="48">
        <f>TabDH[[#This Row],[Patt]]*IF(Pattaufloesung="Stimmen",TabPatt[[#This Row],[Stimmen]],0)*1</f>
        <v>0</v>
      </c>
      <c r="ET12" s="49" t="b">
        <f>_xlfn.RANK.EQ(TabDH[[#This Row],[Stimmen/Gelost]],TabDH[Stimmen/Gelost],0)&lt;=(Sitze_Ausschuss-SUM(TabDH[Sitze]))</f>
        <v>0</v>
      </c>
      <c r="EU12" s="50" t="b">
        <f>OR(TabDH[[#This Row],[Sitze]]&lt;ROUNDDOWN(Grunddaten[[#This Row],[Proporzgenaue Zahl Ausschuss]],0),TabDH[[#This Row],[Sitze]]+(TabDH[[#This Row],[Patt]]*1)&gt;ROUNDUP(Grunddaten[[#This Row],[Proporzgenaue Zahl Ausschuss]],0))</f>
        <v>0</v>
      </c>
      <c r="EV12" s="3"/>
      <c r="EW12" s="51" t="str">
        <f>Grunddaten[[#This Row],[Partei/Wählergruppe]]&amp;""</f>
        <v>FDP</v>
      </c>
      <c r="EX12" s="71">
        <v>1234</v>
      </c>
      <c r="EY12" s="3"/>
      <c r="EZ12" t="b">
        <f>IF(AND(Grunddaten[[#This Row],[Sitze im Hauptorgan]]&gt;0,ISBLANK(Grunddaten[[#This Row],[AG?]])),ROW())</f>
        <v>0</v>
      </c>
      <c r="FA12">
        <f t="shared" si="1"/>
        <v>0</v>
      </c>
      <c r="FB12" t="str">
        <f>Grunddaten[[#This Row],[Partei/Wählergruppe]]</f>
        <v>FDP</v>
      </c>
      <c r="FC12">
        <f>Grunddaten[[#This Row],[Sitze im Hauptorgan]]</f>
        <v>3</v>
      </c>
      <c r="FD12">
        <f>TabPatt[[#This Row],[Stimmen]]</f>
        <v>1234</v>
      </c>
      <c r="FE12" t="str">
        <f>IF(Grunddaten[[#This Row],[AG?]]=FE$6,MID(Grunddaten[[#This Row],[Partei/Wählergruppe]],1,3),"")</f>
        <v/>
      </c>
      <c r="FF12" t="str">
        <f>IF(Grunddaten[[#This Row],[AG?]]=FF$6,MID(Grunddaten[[#This Row],[Partei/Wählergruppe]],1,3),"")</f>
        <v>FDP</v>
      </c>
      <c r="FG12" t="str">
        <f>IF(Grunddaten[[#This Row],[AG?]]=FG$6,MID(Grunddaten[[#This Row],[Partei/Wählergruppe]],1,3),"")</f>
        <v/>
      </c>
      <c r="FH12" t="str">
        <f>IF(Grunddaten[[#This Row],[AG?]]=FH$6,MID(Grunddaten[[#This Row],[Partei/Wählergruppe]],1,3),"")</f>
        <v/>
      </c>
      <c r="FI12" s="154">
        <f>TabHN[[#This Row],[Sitze]]+TabHN[[#This Row],[Patt Auflösung]]</f>
        <v>1</v>
      </c>
      <c r="FJ12" s="154">
        <f>TabSLS[[#This Row],[Sitze]]+TabSLS[[#This Row],[Patt Auflösung]]</f>
        <v>1</v>
      </c>
      <c r="FK12" s="154">
        <f>TabDH[[#This Row],[Sitze]]+TabDH[[#This Row],[Patt Auflösung]]</f>
        <v>0</v>
      </c>
      <c r="FL12" s="154">
        <f t="shared" si="2"/>
        <v>0</v>
      </c>
      <c r="FM12" s="154">
        <f t="shared" si="3"/>
        <v>1</v>
      </c>
      <c r="FN12" t="str">
        <f t="shared" si="4"/>
        <v>SITZ?</v>
      </c>
    </row>
    <row r="13" spans="1:176" x14ac:dyDescent="0.25">
      <c r="A13" s="3"/>
      <c r="B13" s="56" t="s">
        <v>234</v>
      </c>
      <c r="C13" s="71">
        <v>2</v>
      </c>
      <c r="D13" s="71" t="s">
        <v>175</v>
      </c>
      <c r="E13" s="93">
        <f>Grunddaten[[#This Row],[Sitze im Hauptorgan]]/Grunddaten[[#Totals],[Sitze im Hauptorgan]]*Sitze_Ausschuss</f>
        <v>0.39999999999999997</v>
      </c>
      <c r="F13" s="110" t="b">
        <f>OR(Grunddaten[[#This Row],[Proporzgenaue Zahl Ausschuss]]&gt;=1,Grunddaten[[#This Row],[Sitze im Hauptorgan]]&gt;Sitze_Hauptorgan/(1+Sitze_Ausschuss))</f>
        <v>0</v>
      </c>
      <c r="G13" s="159" t="str">
        <f>IF(ROUNDDOWN(Grunddaten[[#This Row],[Proporzgenaue Zahl Ausschuss]],0)&lt;&gt;ROUNDUP(Grunddaten[[#This Row],[Proporzgenaue Zahl Ausschuss]],0), ROUNDDOWN(Grunddaten[[#This Row],[Proporzgenaue Zahl Ausschuss]],0)&amp;" oder "&amp;ROUNDUP(Grunddaten[[#This Row],[Proporzgenaue Zahl Ausschuss]],0),ROUND(Grunddaten[[#This Row],[Proporzgenaue Zahl Ausschuss]],0))</f>
        <v>0 oder 1</v>
      </c>
      <c r="H13" s="52" t="str">
        <f t="shared" si="0"/>
        <v>OK</v>
      </c>
      <c r="I13" s="52" t="str">
        <f>IF(TabSLS[[#This Row],[QK verletzt]],"NOK","OK")</f>
        <v>OK</v>
      </c>
      <c r="J13" s="53" t="str">
        <f>IF(TabDH[[#This Row],[QK verletzt]],"NOK","OK")</f>
        <v>OK</v>
      </c>
      <c r="K13" s="3"/>
      <c r="L13" s="92">
        <f>TabHN[[#This Row],[S ganz]]+IF(NOT(TabHN[[#This Row],[Patt]]),TabHN[[#This Row],[Restsitz]],0)</f>
        <v>0</v>
      </c>
      <c r="M13" s="29">
        <f>IF(TabHN[[#This Row],[Patt]],IF(Pattaufloesung="Los-Chance",TabHN[[#This Row],[Los Chance]],TabHN[[#This Row],[Pattgewinn]]+0),0)</f>
        <v>0.25</v>
      </c>
      <c r="N13" s="30">
        <f>INT(Grunddaten[[#This Row],[Proporzgenaue Zahl Ausschuss]])</f>
        <v>0</v>
      </c>
      <c r="O13" s="31">
        <f>ROUND(Grunddaten[[#This Row],[Proporzgenaue Zahl Ausschuss]]-TabHN[[#This Row],[S ganz]],4)</f>
        <v>0.4</v>
      </c>
      <c r="P13" s="32">
        <f>_xlfn.RANK.EQ(TabHN[[#This Row],[S Rest]],TabHN[S Rest],0)</f>
        <v>4</v>
      </c>
      <c r="Q13" s="30">
        <f>IF(TabHN[[#This Row],[Rng Rest]]&lt;=TabHN[[#Totals],[S Rest]],1,0)</f>
        <v>1</v>
      </c>
      <c r="R13" s="30" t="b">
        <f>AND(TabHN[[#This Row],[Restsitz]]=1,(COUNTIF(TabHN[Rng Rest],TabHN[[#This Row],[Rng Rest]])+TabHN[[#This Row],[Rng Rest]]-1)&gt;TabHN[[#Totals],[S Rest]])</f>
        <v>1</v>
      </c>
      <c r="S13" s="33">
        <f>IF(TabHN[[#This Row],[Patt]],(Sitze_Ausschuss-SUM(TabHN[Sitze]))/TabHN[[#Totals],[Patt]],0)</f>
        <v>0.25</v>
      </c>
      <c r="T13" s="34">
        <f>TabHN[[#This Row],[Patt]]*IF(Pattaufloesung="Stimmen",TabPatt[[#This Row],[Stimmen]],0)*1</f>
        <v>0</v>
      </c>
      <c r="U13" s="35" t="b">
        <f>_xlfn.RANK.EQ(TabHN[[#This Row],[Stimmen/Gelost]],TabHN[Stimmen/Gelost],0)&lt;=(Sitze_Ausschuss-SUM(TabHN[Sitze]))</f>
        <v>1</v>
      </c>
      <c r="V13" s="3"/>
      <c r="W13" s="36">
        <f>COUNTIF(TabSLS[[#This Row],[SP1]:[SP37]],"SITZ")</f>
        <v>0</v>
      </c>
      <c r="X13" s="37">
        <f>IF(TabSLS[[#This Row],[Patt?]],IF(Pattaufloesung="Los-Chance",TabSLS[[#This Row],[Los Chance]],TabSLS[[#This Row],[Pattgewinn]]+0),0)</f>
        <v>0</v>
      </c>
      <c r="Y13" s="38">
        <f>Grunddaten[[#This Row],[Sitze im Hauptorgan]]/_xlfn.NUMBERVALUE(MID(INDEX(TabSLS[[#Headers],[:1]:[:37]],COLUMN()-COLUMN(TabSLS[[#Headers],[:1]])+1),2,3))</f>
        <v>2</v>
      </c>
      <c r="Z13" s="39">
        <f>Grunddaten[[#This Row],[Sitze im Hauptorgan]]/_xlfn.NUMBERVALUE(MID(INDEX(TabSLS[[#Headers],[:1]:[:37]],COLUMN()-COLUMN(TabSLS[[#Headers],[:1]])+1),2,3))</f>
        <v>0.66666666666666663</v>
      </c>
      <c r="AA13" s="39">
        <f>Grunddaten[[#This Row],[Sitze im Hauptorgan]]/_xlfn.NUMBERVALUE(MID(INDEX(TabSLS[[#Headers],[:1]:[:37]],COLUMN()-COLUMN(TabSLS[[#Headers],[:1]])+1),2,3))</f>
        <v>0.4</v>
      </c>
      <c r="AB13" s="39">
        <f>Grunddaten[[#This Row],[Sitze im Hauptorgan]]/_xlfn.NUMBERVALUE(MID(INDEX(TabSLS[[#Headers],[:1]:[:37]],COLUMN()-COLUMN(TabSLS[[#Headers],[:1]])+1),2,3))</f>
        <v>0.2857142857142857</v>
      </c>
      <c r="AC13" s="39">
        <f>Grunddaten[[#This Row],[Sitze im Hauptorgan]]/_xlfn.NUMBERVALUE(MID(INDEX(TabSLS[[#Headers],[:1]:[:37]],COLUMN()-COLUMN(TabSLS[[#Headers],[:1]])+1),2,3))</f>
        <v>0.22222222222222221</v>
      </c>
      <c r="AD13" s="39">
        <f>Grunddaten[[#This Row],[Sitze im Hauptorgan]]/_xlfn.NUMBERVALUE(MID(INDEX(TabSLS[[#Headers],[:1]:[:37]],COLUMN()-COLUMN(TabSLS[[#Headers],[:1]])+1),2,3))</f>
        <v>0.18181818181818182</v>
      </c>
      <c r="AE13" s="39">
        <f>Grunddaten[[#This Row],[Sitze im Hauptorgan]]/_xlfn.NUMBERVALUE(MID(INDEX(TabSLS[[#Headers],[:1]:[:37]],COLUMN()-COLUMN(TabSLS[[#Headers],[:1]])+1),2,3))</f>
        <v>0.15384615384615385</v>
      </c>
      <c r="AF13" s="39">
        <f>Grunddaten[[#This Row],[Sitze im Hauptorgan]]/_xlfn.NUMBERVALUE(MID(INDEX(TabSLS[[#Headers],[:1]:[:37]],COLUMN()-COLUMN(TabSLS[[#Headers],[:1]])+1),2,3))</f>
        <v>0.13333333333333333</v>
      </c>
      <c r="AG13" s="39">
        <f>Grunddaten[[#This Row],[Sitze im Hauptorgan]]/_xlfn.NUMBERVALUE(MID(INDEX(TabSLS[[#Headers],[:1]:[:37]],COLUMN()-COLUMN(TabSLS[[#Headers],[:1]])+1),2,3))</f>
        <v>0.11764705882352941</v>
      </c>
      <c r="AH13" s="39">
        <f>Grunddaten[[#This Row],[Sitze im Hauptorgan]]/_xlfn.NUMBERVALUE(MID(INDEX(TabSLS[[#Headers],[:1]:[:37]],COLUMN()-COLUMN(TabSLS[[#Headers],[:1]])+1),2,3))</f>
        <v>0.10526315789473684</v>
      </c>
      <c r="AI13" s="39">
        <f>Grunddaten[[#This Row],[Sitze im Hauptorgan]]/_xlfn.NUMBERVALUE(MID(INDEX(TabSLS[[#Headers],[:1]:[:37]],COLUMN()-COLUMN(TabSLS[[#Headers],[:1]])+1),2,3))</f>
        <v>9.5238095238095233E-2</v>
      </c>
      <c r="AJ13" s="39">
        <f>Grunddaten[[#This Row],[Sitze im Hauptorgan]]/_xlfn.NUMBERVALUE(MID(INDEX(TabSLS[[#Headers],[:1]:[:37]],COLUMN()-COLUMN(TabSLS[[#Headers],[:1]])+1),2,3))</f>
        <v>8.6956521739130432E-2</v>
      </c>
      <c r="AK13" s="39">
        <f>Grunddaten[[#This Row],[Sitze im Hauptorgan]]/_xlfn.NUMBERVALUE(MID(INDEX(TabSLS[[#Headers],[:1]:[:37]],COLUMN()-COLUMN(TabSLS[[#Headers],[:1]])+1),2,3))</f>
        <v>0.08</v>
      </c>
      <c r="AL13" s="39">
        <f>Grunddaten[[#This Row],[Sitze im Hauptorgan]]/_xlfn.NUMBERVALUE(MID(INDEX(TabSLS[[#Headers],[:1]:[:37]],COLUMN()-COLUMN(TabSLS[[#Headers],[:1]])+1),2,3))</f>
        <v>7.407407407407407E-2</v>
      </c>
      <c r="AM13" s="39">
        <f>Grunddaten[[#This Row],[Sitze im Hauptorgan]]/_xlfn.NUMBERVALUE(MID(INDEX(TabSLS[[#Headers],[:1]:[:37]],COLUMN()-COLUMN(TabSLS[[#Headers],[:1]])+1),2,3))</f>
        <v>6.8965517241379309E-2</v>
      </c>
      <c r="AN13" s="39">
        <f>Grunddaten[[#This Row],[Sitze im Hauptorgan]]/_xlfn.NUMBERVALUE(MID(INDEX(TabSLS[[#Headers],[:1]:[:37]],COLUMN()-COLUMN(TabSLS[[#Headers],[:1]])+1),2,3))</f>
        <v>6.4516129032258063E-2</v>
      </c>
      <c r="AO13" s="39">
        <f>Grunddaten[[#This Row],[Sitze im Hauptorgan]]/_xlfn.NUMBERVALUE(MID(INDEX(TabSLS[[#Headers],[:1]:[:37]],COLUMN()-COLUMN(TabSLS[[#Headers],[:1]])+1),2,3))</f>
        <v>6.0606060606060608E-2</v>
      </c>
      <c r="AP13" s="39">
        <f>Grunddaten[[#This Row],[Sitze im Hauptorgan]]/_xlfn.NUMBERVALUE(MID(INDEX(TabSLS[[#Headers],[:1]:[:37]],COLUMN()-COLUMN(TabSLS[[#Headers],[:1]])+1),2,3))</f>
        <v>5.7142857142857141E-2</v>
      </c>
      <c r="AQ13" s="40">
        <f>Grunddaten[[#This Row],[Sitze im Hauptorgan]]/_xlfn.NUMBERVALUE(MID(INDEX(TabSLS[[#Headers],[:1]:[:37]],COLUMN()-COLUMN(TabSLS[[#Headers],[:1]])+1),2,3))</f>
        <v>5.4054054054054057E-2</v>
      </c>
      <c r="AR13" s="41">
        <f>_xlfn.RANK.EQ(TabSLS[[#This Row],[:1]],TabSLS[[:1]:[:37]],0)</f>
        <v>16</v>
      </c>
      <c r="AS13" s="42">
        <f>_xlfn.RANK.EQ(TabSLS[[#This Row],[:3]],TabSLS[[:1]:[:37]],0)</f>
        <v>51</v>
      </c>
      <c r="AT13" s="42">
        <f>_xlfn.RANK.EQ(TabSLS[[#This Row],[:5]],TabSLS[[:1]:[:37]],0)</f>
        <v>79</v>
      </c>
      <c r="AU13" s="42">
        <f>_xlfn.RANK.EQ(TabSLS[[#This Row],[:7]],TabSLS[[:1]:[:37]],0)</f>
        <v>96</v>
      </c>
      <c r="AV13" s="42">
        <f>_xlfn.RANK.EQ(TabSLS[[#This Row],[:9]],TabSLS[[:1]:[:37]],0)</f>
        <v>110</v>
      </c>
      <c r="AW13" s="42">
        <f>_xlfn.RANK.EQ(TabSLS[[#This Row],[:11]],TabSLS[[:1]:[:37]],0)</f>
        <v>119</v>
      </c>
      <c r="AX13" s="42">
        <f>_xlfn.RANK.EQ(TabSLS[[#This Row],[:13]],TabSLS[[:1]:[:37]],0)</f>
        <v>127</v>
      </c>
      <c r="AY13" s="42">
        <f>_xlfn.RANK.EQ(TabSLS[[#This Row],[:15]],TabSLS[[:1]:[:37]],0)</f>
        <v>135</v>
      </c>
      <c r="AZ13" s="42">
        <f>_xlfn.RANK.EQ(TabSLS[[#This Row],[:17]],TabSLS[[:1]:[:37]],0)</f>
        <v>143</v>
      </c>
      <c r="BA13" s="42">
        <f>_xlfn.RANK.EQ(TabSLS[[#This Row],[:19]],TabSLS[[:1]:[:37]],0)</f>
        <v>151</v>
      </c>
      <c r="BB13" s="42">
        <f>_xlfn.RANK.EQ(TabSLS[[#This Row],[:21]],TabSLS[[:1]:[:37]],0)</f>
        <v>157</v>
      </c>
      <c r="BC13" s="42">
        <f>_xlfn.RANK.EQ(TabSLS[[#This Row],[:23]],TabSLS[[:1]:[:37]],0)</f>
        <v>163</v>
      </c>
      <c r="BD13" s="42">
        <f>_xlfn.RANK.EQ(TabSLS[[#This Row],[:25]],TabSLS[[:1]:[:37]],0)</f>
        <v>169</v>
      </c>
      <c r="BE13" s="42">
        <f>_xlfn.RANK.EQ(TabSLS[[#This Row],[:27]],TabSLS[[:1]:[:37]],0)</f>
        <v>174</v>
      </c>
      <c r="BF13" s="42">
        <f>_xlfn.RANK.EQ(TabSLS[[#This Row],[:29]],TabSLS[[:1]:[:37]],0)</f>
        <v>178</v>
      </c>
      <c r="BG13" s="42">
        <f>_xlfn.RANK.EQ(TabSLS[[#This Row],[:31]],TabSLS[[:1]:[:37]],0)</f>
        <v>183</v>
      </c>
      <c r="BH13" s="42">
        <f>_xlfn.RANK.EQ(TabSLS[[#This Row],[:33]],TabSLS[[:1]:[:37]],0)</f>
        <v>187</v>
      </c>
      <c r="BI13" s="42">
        <f>_xlfn.RANK.EQ(TabSLS[[#This Row],[:35]],TabSLS[[:1]:[:37]],0)</f>
        <v>192</v>
      </c>
      <c r="BJ13" s="43">
        <f>_xlfn.RANK.EQ(TabSLS[[#This Row],[:37]],TabSLS[[:1]:[:37]],0)</f>
        <v>196</v>
      </c>
      <c r="BK13" s="44" t="str">
        <f>IF(TabSLS[[#This Row],[R1]]&lt;=Sitze_Ausschuss,IF(TabSLS[[#This Row],[R1]]+COUNTIF(TabSLS[[R1]:[R37]],TabSLS[[#This Row],[R1]])-1&lt;=Sitze_Ausschuss,"SITZ","PATT"),"")</f>
        <v/>
      </c>
      <c r="BL13" s="45" t="str">
        <f>IF(TabSLS[[#This Row],[R3]]&lt;=Sitze_Ausschuss,IF(TabSLS[[#This Row],[R3]]+COUNTIF(TabSLS[[R1]:[R37]],TabSLS[[#This Row],[R3]])-1&lt;=Sitze_Ausschuss,"SITZ","PATT"),"")</f>
        <v/>
      </c>
      <c r="BM13" s="45" t="str">
        <f>IF(TabSLS[[#This Row],[R5]]&lt;=Sitze_Ausschuss,IF(TabSLS[[#This Row],[R5]]+COUNTIF(TabSLS[[R1]:[R37]],TabSLS[[#This Row],[R5]])-1&lt;=Sitze_Ausschuss,"SITZ","PATT"),"")</f>
        <v/>
      </c>
      <c r="BN13" s="45" t="str">
        <f>IF(TabSLS[[#This Row],[R7]]&lt;=Sitze_Ausschuss,IF(TabSLS[[#This Row],[R7]]+COUNTIF(TabSLS[[R1]:[R37]],TabSLS[[#This Row],[R7]])-1&lt;=Sitze_Ausschuss,"SITZ","PATT"),"")</f>
        <v/>
      </c>
      <c r="BO13" s="45" t="str">
        <f>IF(TabSLS[[#This Row],[R9]]&lt;=Sitze_Ausschuss,IF(TabSLS[[#This Row],[R9]]+COUNTIF(TabSLS[[R1]:[R37]],TabSLS[[#This Row],[R9]])-1&lt;=Sitze_Ausschuss,"SITZ","PATT"),"")</f>
        <v/>
      </c>
      <c r="BP13" s="45" t="str">
        <f>IF(TabSLS[[#This Row],[R11]]&lt;=Sitze_Ausschuss,IF(TabSLS[[#This Row],[R11]]+COUNTIF(TabSLS[[R1]:[R37]],TabSLS[[#This Row],[R11]])-1&lt;=Sitze_Ausschuss,"SITZ","PATT"),"")</f>
        <v/>
      </c>
      <c r="BQ13" s="45" t="str">
        <f>IF(TabSLS[[#This Row],[R13]]&lt;=Sitze_Ausschuss,IF(TabSLS[[#This Row],[R13]]+COUNTIF(TabSLS[[R1]:[R37]],TabSLS[[#This Row],[R13]])-1&lt;=Sitze_Ausschuss,"SITZ","PATT"),"")</f>
        <v/>
      </c>
      <c r="BR13" s="45" t="str">
        <f>IF(TabSLS[[#This Row],[R15]]&lt;=Sitze_Ausschuss,IF(TabSLS[[#This Row],[R15]]+COUNTIF(TabSLS[[R1]:[R37]],TabSLS[[#This Row],[R15]])-1&lt;=Sitze_Ausschuss,"SITZ","PATT"),"")</f>
        <v/>
      </c>
      <c r="BS13" s="45" t="str">
        <f>IF(TabSLS[[#This Row],[R17]]&lt;=Sitze_Ausschuss,IF(TabSLS[[#This Row],[R17]]+COUNTIF(TabSLS[[R1]:[R37]],TabSLS[[#This Row],[R17]])-1&lt;=Sitze_Ausschuss,"SITZ","PATT"),"")</f>
        <v/>
      </c>
      <c r="BT13" s="45" t="str">
        <f>IF(TabSLS[[#This Row],[R19]]&lt;=Sitze_Ausschuss,IF(TabSLS[[#This Row],[R19]]+COUNTIF(TabSLS[[R1]:[R37]],TabSLS[[#This Row],[R19]])-1&lt;=Sitze_Ausschuss,"SITZ","PATT"),"")</f>
        <v/>
      </c>
      <c r="BU13" s="45" t="str">
        <f>IF(TabSLS[[#This Row],[R21]]&lt;=Sitze_Ausschuss,IF(TabSLS[[#This Row],[R21]]+COUNTIF(TabSLS[[R1]:[R37]],TabSLS[[#This Row],[R21]])-1&lt;=Sitze_Ausschuss,"SITZ","PATT"),"")</f>
        <v/>
      </c>
      <c r="BV13" s="45" t="str">
        <f>IF(TabSLS[[#This Row],[R23]]&lt;=Sitze_Ausschuss,IF(TabSLS[[#This Row],[R23]]+COUNTIF(TabSLS[[R1]:[R37]],TabSLS[[#This Row],[R23]])-1&lt;=Sitze_Ausschuss,"SITZ","PATT"),"")</f>
        <v/>
      </c>
      <c r="BW13" s="45" t="str">
        <f>IF(TabSLS[[#This Row],[R25]]&lt;=Sitze_Ausschuss,IF(TabSLS[[#This Row],[R25]]+COUNTIF(TabSLS[[R1]:[R37]],TabSLS[[#This Row],[R25]])-1&lt;=Sitze_Ausschuss,"SITZ","PATT"),"")</f>
        <v/>
      </c>
      <c r="BX13" s="45" t="str">
        <f>IF(TabSLS[[#This Row],[R27]]&lt;=Sitze_Ausschuss,IF(TabSLS[[#This Row],[R27]]+COUNTIF(TabSLS[[R1]:[R37]],TabSLS[[#This Row],[R27]])-1&lt;=Sitze_Ausschuss,"SITZ","PATT"),"")</f>
        <v/>
      </c>
      <c r="BY13" s="45" t="str">
        <f>IF(TabSLS[[#This Row],[R29]]&lt;=Sitze_Ausschuss,IF(TabSLS[[#This Row],[R29]]+COUNTIF(TabSLS[[R1]:[R37]],TabSLS[[#This Row],[R29]])-1&lt;=Sitze_Ausschuss,"SITZ","PATT"),"")</f>
        <v/>
      </c>
      <c r="BZ13" s="45" t="str">
        <f>IF(TabSLS[[#This Row],[R31]]&lt;=Sitze_Ausschuss,IF(TabSLS[[#This Row],[R31]]+COUNTIF(TabSLS[[R1]:[R37]],TabSLS[[#This Row],[R31]])-1&lt;=Sitze_Ausschuss,"SITZ","PATT"),"")</f>
        <v/>
      </c>
      <c r="CA13" s="45" t="str">
        <f>IF(TabSLS[[#This Row],[R33]]&lt;=Sitze_Ausschuss,IF(TabSLS[[#This Row],[R33]]+COUNTIF(TabSLS[[R1]:[R37]],TabSLS[[#This Row],[R33]])-1&lt;=Sitze_Ausschuss,"SITZ","PATT"),"")</f>
        <v/>
      </c>
      <c r="CB13" s="45" t="str">
        <f>IF(TabSLS[[#This Row],[R35]]&lt;=Sitze_Ausschuss,IF(TabSLS[[#This Row],[R35]]+COUNTIF(TabSLS[[R1]:[R37]],TabSLS[[#This Row],[R35]])-1&lt;=Sitze_Ausschuss,"SITZ","PATT"),"")</f>
        <v/>
      </c>
      <c r="CC13" s="46" t="str">
        <f>IF(TabSLS[[#This Row],[R37]]&lt;=Sitze_Ausschuss,IF(TabSLS[[#This Row],[R37]]+COUNTIF(TabSLS[[R1]:[R37]],TabSLS[[#This Row],[R37]])-1&lt;=Sitze_Ausschuss,"SITZ","PATT"),"")</f>
        <v/>
      </c>
      <c r="CD13" s="47" t="b">
        <f>COUNTIF(TabSLS[[#This Row],[SP1]:[SP37]],"PATT")&gt;0</f>
        <v>0</v>
      </c>
      <c r="CE13" s="33">
        <f>IF(TabSLS[[#This Row],[Patt?]],(Sitze_Ausschuss-SUM(TabSLS[Sitze]))/TabSLS[[#Totals],[Patt?]],0)</f>
        <v>0</v>
      </c>
      <c r="CF13" s="48">
        <f>TabSLS[[#This Row],[Patt?]]*IF(Pattaufloesung="Stimmen",TabPatt[[#This Row],[Stimmen]],0)*1</f>
        <v>0</v>
      </c>
      <c r="CG13" s="49" t="b">
        <f>_xlfn.RANK.EQ(TabSLS[[#This Row],[Stimmen Gelost]],TabSLS[Stimmen Gelost],0)&lt;=(Sitze_Ausschuss-SUM(TabSLS[Sitze]))</f>
        <v>0</v>
      </c>
      <c r="CH13" s="50" t="b">
        <f>OR(TabSLS[[#This Row],[Sitze]]&lt;ROUNDDOWN(Grunddaten[[#This Row],[Proporzgenaue Zahl Ausschuss]],0),TabSLS[[#This Row],[Sitze]]+(TabSLS[[#This Row],[Patt?]]*1)&gt;ROUNDUP(Grunddaten[[#This Row],[Proporzgenaue Zahl Ausschuss]],0))</f>
        <v>0</v>
      </c>
      <c r="CI13" s="3"/>
      <c r="CJ13" s="36">
        <f>COUNTIF(TabDH[[#This Row],[SP1]:[SP19]],"SITZ")</f>
        <v>0</v>
      </c>
      <c r="CK13" s="37">
        <f>IF(TabDH[[#This Row],[Patt]],IF(Pattaufloesung="Los-Chance",TabDH[[#This Row],[Los Chance]],TabDH[[#This Row],[Pattgewinn]]+0),0)</f>
        <v>0</v>
      </c>
      <c r="CL13" s="38">
        <f>Grunddaten[[#This Row],[Sitze im Hauptorgan]]/_xlfn.NUMBERVALUE(MID(INDEX(TabDH[[#Headers],[:1]:[:19]],COLUMN()-COLUMN(TabDH[[#Headers],[:1]])+1),2,3))</f>
        <v>2</v>
      </c>
      <c r="CM13" s="39">
        <f>Grunddaten[[#This Row],[Sitze im Hauptorgan]]/_xlfn.NUMBERVALUE(MID(INDEX(TabDH[[#Headers],[:1]:[:19]],COLUMN()-COLUMN(TabDH[[#Headers],[:1]])+1),2,3))</f>
        <v>1</v>
      </c>
      <c r="CN13" s="39">
        <f>Grunddaten[[#This Row],[Sitze im Hauptorgan]]/_xlfn.NUMBERVALUE(MID(INDEX(TabDH[[#Headers],[:1]:[:19]],COLUMN()-COLUMN(TabDH[[#Headers],[:1]])+1),2,3))</f>
        <v>0.66666666666666663</v>
      </c>
      <c r="CO13" s="39">
        <f>Grunddaten[[#This Row],[Sitze im Hauptorgan]]/_xlfn.NUMBERVALUE(MID(INDEX(TabDH[[#Headers],[:1]:[:19]],COLUMN()-COLUMN(TabDH[[#Headers],[:1]])+1),2,3))</f>
        <v>0.5</v>
      </c>
      <c r="CP13" s="39">
        <f>Grunddaten[[#This Row],[Sitze im Hauptorgan]]/_xlfn.NUMBERVALUE(MID(INDEX(TabDH[[#Headers],[:1]:[:19]],COLUMN()-COLUMN(TabDH[[#Headers],[:1]])+1),2,3))</f>
        <v>0.4</v>
      </c>
      <c r="CQ13" s="39">
        <f>Grunddaten[[#This Row],[Sitze im Hauptorgan]]/_xlfn.NUMBERVALUE(MID(INDEX(TabDH[[#Headers],[:1]:[:19]],COLUMN()-COLUMN(TabDH[[#Headers],[:1]])+1),2,3))</f>
        <v>0.33333333333333331</v>
      </c>
      <c r="CR13" s="39">
        <f>Grunddaten[[#This Row],[Sitze im Hauptorgan]]/_xlfn.NUMBERVALUE(MID(INDEX(TabDH[[#Headers],[:1]:[:19]],COLUMN()-COLUMN(TabDH[[#Headers],[:1]])+1),2,3))</f>
        <v>0.2857142857142857</v>
      </c>
      <c r="CS13" s="39">
        <f>Grunddaten[[#This Row],[Sitze im Hauptorgan]]/_xlfn.NUMBERVALUE(MID(INDEX(TabDH[[#Headers],[:1]:[:19]],COLUMN()-COLUMN(TabDH[[#Headers],[:1]])+1),2,3))</f>
        <v>0.25</v>
      </c>
      <c r="CT13" s="39">
        <f>Grunddaten[[#This Row],[Sitze im Hauptorgan]]/_xlfn.NUMBERVALUE(MID(INDEX(TabDH[[#Headers],[:1]:[:19]],COLUMN()-COLUMN(TabDH[[#Headers],[:1]])+1),2,3))</f>
        <v>0.22222222222222221</v>
      </c>
      <c r="CU13" s="39">
        <f>Grunddaten[[#This Row],[Sitze im Hauptorgan]]/_xlfn.NUMBERVALUE(MID(INDEX(TabDH[[#Headers],[:1]:[:19]],COLUMN()-COLUMN(TabDH[[#Headers],[:1]])+1),2,3))</f>
        <v>0.2</v>
      </c>
      <c r="CV13" s="39">
        <f>Grunddaten[[#This Row],[Sitze im Hauptorgan]]/_xlfn.NUMBERVALUE(MID(INDEX(TabDH[[#Headers],[:1]:[:19]],COLUMN()-COLUMN(TabDH[[#Headers],[:1]])+1),2,3))</f>
        <v>0.18181818181818182</v>
      </c>
      <c r="CW13" s="39">
        <f>Grunddaten[[#This Row],[Sitze im Hauptorgan]]/_xlfn.NUMBERVALUE(MID(INDEX(TabDH[[#Headers],[:1]:[:19]],COLUMN()-COLUMN(TabDH[[#Headers],[:1]])+1),2,3))</f>
        <v>0.16666666666666666</v>
      </c>
      <c r="CX13" s="39">
        <f>Grunddaten[[#This Row],[Sitze im Hauptorgan]]/_xlfn.NUMBERVALUE(MID(INDEX(TabDH[[#Headers],[:1]:[:19]],COLUMN()-COLUMN(TabDH[[#Headers],[:1]])+1),2,3))</f>
        <v>0.15384615384615385</v>
      </c>
      <c r="CY13" s="39">
        <f>Grunddaten[[#This Row],[Sitze im Hauptorgan]]/_xlfn.NUMBERVALUE(MID(INDEX(TabDH[[#Headers],[:1]:[:19]],COLUMN()-COLUMN(TabDH[[#Headers],[:1]])+1),2,3))</f>
        <v>0.14285714285714285</v>
      </c>
      <c r="CZ13" s="39">
        <f>Grunddaten[[#This Row],[Sitze im Hauptorgan]]/_xlfn.NUMBERVALUE(MID(INDEX(TabDH[[#Headers],[:1]:[:19]],COLUMN()-COLUMN(TabDH[[#Headers],[:1]])+1),2,3))</f>
        <v>0.13333333333333333</v>
      </c>
      <c r="DA13" s="39">
        <f>Grunddaten[[#This Row],[Sitze im Hauptorgan]]/_xlfn.NUMBERVALUE(MID(INDEX(TabDH[[#Headers],[:1]:[:19]],COLUMN()-COLUMN(TabDH[[#Headers],[:1]])+1),2,3))</f>
        <v>0.125</v>
      </c>
      <c r="DB13" s="39">
        <f>Grunddaten[[#This Row],[Sitze im Hauptorgan]]/_xlfn.NUMBERVALUE(MID(INDEX(TabDH[[#Headers],[:1]:[:19]],COLUMN()-COLUMN(TabDH[[#Headers],[:1]])+1),2,3))</f>
        <v>0.11764705882352941</v>
      </c>
      <c r="DC13" s="39">
        <f>Grunddaten[[#This Row],[Sitze im Hauptorgan]]/_xlfn.NUMBERVALUE(MID(INDEX(TabDH[[#Headers],[:1]:[:19]],COLUMN()-COLUMN(TabDH[[#Headers],[:1]])+1),2,3))</f>
        <v>0.1111111111111111</v>
      </c>
      <c r="DD13" s="40">
        <f>Grunddaten[[#This Row],[Sitze im Hauptorgan]]/_xlfn.NUMBERVALUE(MID(INDEX(TabDH[[#Headers],[:1]:[:19]],COLUMN()-COLUMN(TabDH[[#Headers],[:1]])+1),2,3))</f>
        <v>0.10526315789473684</v>
      </c>
      <c r="DE13" s="41">
        <f>_xlfn.RANK.EQ(TabDH[[#This Row],[:1]],TabDH[[:1]:[:19]],0)</f>
        <v>26</v>
      </c>
      <c r="DF13" s="42">
        <f>_xlfn.RANK.EQ(TabDH[[#This Row],[:2]],TabDH[[:1]:[:19]],0)</f>
        <v>60</v>
      </c>
      <c r="DG13" s="42">
        <f>_xlfn.RANK.EQ(TabDH[[#This Row],[:3]],TabDH[[:1]:[:19]],0)</f>
        <v>82</v>
      </c>
      <c r="DH13" s="42">
        <f>_xlfn.RANK.EQ(TabDH[[#This Row],[:4]],TabDH[[:1]:[:19]],0)</f>
        <v>98</v>
      </c>
      <c r="DI13" s="42">
        <f>_xlfn.RANK.EQ(TabDH[[#This Row],[:5]],TabDH[[:1]:[:19]],0)</f>
        <v>111</v>
      </c>
      <c r="DJ13" s="42">
        <f>_xlfn.RANK.EQ(TabDH[[#This Row],[:6]],TabDH[[:1]:[:19]],0)</f>
        <v>118</v>
      </c>
      <c r="DK13" s="42">
        <f>_xlfn.RANK.EQ(TabDH[[#This Row],[:7]],TabDH[[:1]:[:19]],0)</f>
        <v>127</v>
      </c>
      <c r="DL13" s="42">
        <f>_xlfn.RANK.EQ(TabDH[[#This Row],[:8]],TabDH[[:1]:[:19]],0)</f>
        <v>134</v>
      </c>
      <c r="DM13" s="42">
        <f>_xlfn.RANK.EQ(TabDH[[#This Row],[:9]],TabDH[[:1]:[:19]],0)</f>
        <v>143</v>
      </c>
      <c r="DN13" s="42">
        <f>_xlfn.RANK.EQ(TabDH[[#This Row],[:10]],TabDH[[:1]:[:19]],0)</f>
        <v>150</v>
      </c>
      <c r="DO13" s="42">
        <f>_xlfn.RANK.EQ(TabDH[[#This Row],[:11]],TabDH[[:1]:[:19]],0)</f>
        <v>157</v>
      </c>
      <c r="DP13" s="42">
        <f>_xlfn.RANK.EQ(TabDH[[#This Row],[:12]],TabDH[[:1]:[:19]],0)</f>
        <v>162</v>
      </c>
      <c r="DQ13" s="42">
        <f>_xlfn.RANK.EQ(TabDH[[#This Row],[:13]],TabDH[[:1]:[:19]],0)</f>
        <v>169</v>
      </c>
      <c r="DR13" s="42">
        <f>_xlfn.RANK.EQ(TabDH[[#This Row],[:14]],TabDH[[:1]:[:19]],0)</f>
        <v>173</v>
      </c>
      <c r="DS13" s="42">
        <f>_xlfn.RANK.EQ(TabDH[[#This Row],[:15]],TabDH[[:1]:[:19]],0)</f>
        <v>178</v>
      </c>
      <c r="DT13" s="42">
        <f>_xlfn.RANK.EQ(TabDH[[#This Row],[:16]],TabDH[[:1]:[:19]],0)</f>
        <v>182</v>
      </c>
      <c r="DU13" s="42">
        <f>_xlfn.RANK.EQ(TabDH[[#This Row],[:17]],TabDH[[:1]:[:19]],0)</f>
        <v>187</v>
      </c>
      <c r="DV13" s="42">
        <f>_xlfn.RANK.EQ(TabDH[[#This Row],[:18]],TabDH[[:1]:[:19]],0)</f>
        <v>191</v>
      </c>
      <c r="DW13" s="43">
        <f>_xlfn.RANK.EQ(TabDH[[#This Row],[:19]],TabDH[[:1]:[:19]],0)</f>
        <v>196</v>
      </c>
      <c r="DX13" s="44" t="str">
        <f>IF(TabDH[[#This Row],[R1]]&lt;=Sitze_Ausschuss,IF(TabDH[[#This Row],[R1]]+COUNTIF(TabDH[[R1]:[R19]],TabDH[[#This Row],[R1]])-1&lt;=Sitze_Ausschuss,"SITZ","PATT"),"")</f>
        <v/>
      </c>
      <c r="DY13" s="45" t="str">
        <f>IF(TabDH[[#This Row],[R2]]&lt;=Sitze_Ausschuss,IF(TabDH[[#This Row],[R2]]+COUNTIF(TabDH[[R1]:[R19]],TabDH[[#This Row],[R2]])-1&lt;=Sitze_Ausschuss,"SITZ","PATT"),"")</f>
        <v/>
      </c>
      <c r="DZ13" s="45" t="str">
        <f>IF(TabDH[[#This Row],[R3]]&lt;=Sitze_Ausschuss,IF(TabDH[[#This Row],[R3]]+COUNTIF(TabDH[[R1]:[R19]],TabDH[[#This Row],[R3]])-1&lt;=Sitze_Ausschuss,"SITZ","PATT"),"")</f>
        <v/>
      </c>
      <c r="EA13" s="45" t="str">
        <f>IF(TabDH[[#This Row],[R4]]&lt;=Sitze_Ausschuss,IF(TabDH[[#This Row],[R4]]+COUNTIF(TabDH[[R1]:[R19]],TabDH[[#This Row],[R4]])-1&lt;=Sitze_Ausschuss,"SITZ","PATT"),"")</f>
        <v/>
      </c>
      <c r="EB13" s="45" t="str">
        <f>IF(TabDH[[#This Row],[R5]]&lt;=Sitze_Ausschuss,IF(TabDH[[#This Row],[R5]]+COUNTIF(TabDH[[R1]:[R19]],TabDH[[#This Row],[R5]])-1&lt;=Sitze_Ausschuss,"SITZ","PATT"),"")</f>
        <v/>
      </c>
      <c r="EC13" s="45" t="str">
        <f>IF(TabDH[[#This Row],[R6]]&lt;=Sitze_Ausschuss,IF(TabDH[[#This Row],[R6]]+COUNTIF(TabDH[[R1]:[R19]],TabDH[[#This Row],[R6]])-1&lt;=Sitze_Ausschuss,"SITZ","PATT"),"")</f>
        <v/>
      </c>
      <c r="ED13" s="45" t="str">
        <f>IF(TabDH[[#This Row],[R7]]&lt;=Sitze_Ausschuss,IF(TabDH[[#This Row],[R7]]+COUNTIF(TabDH[[R1]:[R19]],TabDH[[#This Row],[R7]])-1&lt;=Sitze_Ausschuss,"SITZ","PATT"),"")</f>
        <v/>
      </c>
      <c r="EE13" s="45" t="str">
        <f>IF(TabDH[[#This Row],[R8]]&lt;=Sitze_Ausschuss,IF(TabDH[[#This Row],[R8]]+COUNTIF(TabDH[[R1]:[R19]],TabDH[[#This Row],[R8]])-1&lt;=Sitze_Ausschuss,"SITZ","PATT"),"")</f>
        <v/>
      </c>
      <c r="EF13" s="45" t="str">
        <f>IF(TabDH[[#This Row],[R9]]&lt;=Sitze_Ausschuss,IF(TabDH[[#This Row],[R9]]+COUNTIF(TabDH[[R1]:[R19]],TabDH[[#This Row],[R9]])-1&lt;=Sitze_Ausschuss,"SITZ","PATT"),"")</f>
        <v/>
      </c>
      <c r="EG13" s="45" t="str">
        <f>IF(TabDH[[#This Row],[R10]]&lt;=Sitze_Ausschuss,IF(TabDH[[#This Row],[R10]]+COUNTIF(TabDH[[R1]:[R19]],TabDH[[#This Row],[R10]])-1&lt;=Sitze_Ausschuss,"SITZ","PATT"),"")</f>
        <v/>
      </c>
      <c r="EH13" s="45" t="str">
        <f>IF(TabDH[[#This Row],[R11]]&lt;=Sitze_Ausschuss,IF(TabDH[[#This Row],[R11]]+COUNTIF(TabDH[[R1]:[R19]],TabDH[[#This Row],[R11]])-1&lt;=Sitze_Ausschuss,"SITZ","PATT"),"")</f>
        <v/>
      </c>
      <c r="EI13" s="45" t="str">
        <f>IF(TabDH[[#This Row],[R12]]&lt;=Sitze_Ausschuss,IF(TabDH[[#This Row],[R12]]+COUNTIF(TabDH[[R1]:[R19]],TabDH[[#This Row],[R12]])-1&lt;=Sitze_Ausschuss,"SITZ","PATT"),"")</f>
        <v/>
      </c>
      <c r="EJ13" s="45" t="str">
        <f>IF(TabDH[[#This Row],[R13]]&lt;=Sitze_Ausschuss,IF(TabDH[[#This Row],[R13]]+COUNTIF(TabDH[[R1]:[R19]],TabDH[[#This Row],[R13]])-1&lt;=Sitze_Ausschuss,"SITZ","PATT"),"")</f>
        <v/>
      </c>
      <c r="EK13" s="45" t="str">
        <f>IF(TabDH[[#This Row],[R14]]&lt;=Sitze_Ausschuss,IF(TabDH[[#This Row],[R14]]+COUNTIF(TabDH[[R1]:[R19]],TabDH[[#This Row],[R14]])-1&lt;=Sitze_Ausschuss,"SITZ","PATT"),"")</f>
        <v/>
      </c>
      <c r="EL13" s="45" t="str">
        <f>IF(TabDH[[#This Row],[R15]]&lt;=Sitze_Ausschuss,IF(TabDH[[#This Row],[R15]]+COUNTIF(TabDH[[R1]:[R19]],TabDH[[#This Row],[R15]])-1&lt;=Sitze_Ausschuss,"SITZ","PATT"),"")</f>
        <v/>
      </c>
      <c r="EM13" s="45" t="str">
        <f>IF(TabDH[[#This Row],[R16]]&lt;=Sitze_Ausschuss,IF(TabDH[[#This Row],[R16]]+COUNTIF(TabDH[[R1]:[R19]],TabDH[[#This Row],[R16]])-1&lt;=Sitze_Ausschuss,"SITZ","PATT"),"")</f>
        <v/>
      </c>
      <c r="EN13" s="45" t="str">
        <f>IF(TabDH[[#This Row],[R17]]&lt;=Sitze_Ausschuss,IF(TabDH[[#This Row],[R17]]+COUNTIF(TabDH[[R1]:[R19]],TabDH[[#This Row],[R17]])-1&lt;=Sitze_Ausschuss,"SITZ","PATT"),"")</f>
        <v/>
      </c>
      <c r="EO13" s="45" t="str">
        <f>IF(TabDH[[#This Row],[R18]]&lt;=Sitze_Ausschuss,IF(TabDH[[#This Row],[R18]]+COUNTIF(TabDH[[R1]:[R19]],TabDH[[#This Row],[R18]])-1&lt;=Sitze_Ausschuss,"SITZ","PATT"),"")</f>
        <v/>
      </c>
      <c r="EP13" s="45" t="str">
        <f>IF(TabDH[[#This Row],[R19]]&lt;=Sitze_Ausschuss,IF(TabDH[[#This Row],[R19]]+COUNTIF(TabDH[[R1]:[R19]],TabDH[[#This Row],[R19]])-1&lt;=Sitze_Ausschuss,"SITZ","PATT"),"")</f>
        <v/>
      </c>
      <c r="EQ13" s="47" t="b">
        <f>COUNTIF(TabDH[[#This Row],[SP1]:[SP19]],"PATT")&gt;0</f>
        <v>0</v>
      </c>
      <c r="ER13" s="33">
        <f>IF(TabDH[[#This Row],[Patt]],(Sitze_Ausschuss-SUM(TabDH[Sitze]))/TabDH[[#Totals],[Patt]],0)</f>
        <v>0</v>
      </c>
      <c r="ES13" s="48">
        <f>TabDH[[#This Row],[Patt]]*IF(Pattaufloesung="Stimmen",TabPatt[[#This Row],[Stimmen]],0)*1</f>
        <v>0</v>
      </c>
      <c r="ET13" s="49" t="b">
        <f>_xlfn.RANK.EQ(TabDH[[#This Row],[Stimmen/Gelost]],TabDH[Stimmen/Gelost],0)&lt;=(Sitze_Ausschuss-SUM(TabDH[Sitze]))</f>
        <v>0</v>
      </c>
      <c r="EU13" s="50" t="b">
        <f>OR(TabDH[[#This Row],[Sitze]]&lt;ROUNDDOWN(Grunddaten[[#This Row],[Proporzgenaue Zahl Ausschuss]],0),TabDH[[#This Row],[Sitze]]+(TabDH[[#This Row],[Patt]]*1)&gt;ROUNDUP(Grunddaten[[#This Row],[Proporzgenaue Zahl Ausschuss]],0))</f>
        <v>0</v>
      </c>
      <c r="EV13" s="3"/>
      <c r="EW13" s="51" t="str">
        <f>Grunddaten[[#This Row],[Partei/Wählergruppe]]&amp;""</f>
        <v>LINKE</v>
      </c>
      <c r="EX13" s="71">
        <v>1111</v>
      </c>
      <c r="EY13" s="3"/>
      <c r="EZ13" t="b">
        <f>IF(AND(Grunddaten[[#This Row],[Sitze im Hauptorgan]]&gt;0,ISBLANK(Grunddaten[[#This Row],[AG?]])),ROW())</f>
        <v>0</v>
      </c>
      <c r="FA13">
        <f t="shared" si="1"/>
        <v>0</v>
      </c>
      <c r="FB13" t="str">
        <f>Grunddaten[[#This Row],[Partei/Wählergruppe]]</f>
        <v>LINKE</v>
      </c>
      <c r="FC13">
        <f>Grunddaten[[#This Row],[Sitze im Hauptorgan]]</f>
        <v>2</v>
      </c>
      <c r="FD13">
        <f>TabPatt[[#This Row],[Stimmen]]</f>
        <v>1111</v>
      </c>
      <c r="FE13" t="str">
        <f>IF(Grunddaten[[#This Row],[AG?]]=FE$6,MID(Grunddaten[[#This Row],[Partei/Wählergruppe]],1,3),"")</f>
        <v/>
      </c>
      <c r="FF13" t="str">
        <f>IF(Grunddaten[[#This Row],[AG?]]=FF$6,MID(Grunddaten[[#This Row],[Partei/Wählergruppe]],1,3),"")</f>
        <v>LIN</v>
      </c>
      <c r="FG13" t="str">
        <f>IF(Grunddaten[[#This Row],[AG?]]=FG$6,MID(Grunddaten[[#This Row],[Partei/Wählergruppe]],1,3),"")</f>
        <v/>
      </c>
      <c r="FH13" t="str">
        <f>IF(Grunddaten[[#This Row],[AG?]]=FH$6,MID(Grunddaten[[#This Row],[Partei/Wählergruppe]],1,3),"")</f>
        <v/>
      </c>
      <c r="FI13" s="154">
        <f>TabHN[[#This Row],[Sitze]]+TabHN[[#This Row],[Patt Auflösung]]</f>
        <v>0.25</v>
      </c>
      <c r="FJ13" s="154">
        <f>TabSLS[[#This Row],[Sitze]]+TabSLS[[#This Row],[Patt Auflösung]]</f>
        <v>0</v>
      </c>
      <c r="FK13" s="154">
        <f>TabDH[[#This Row],[Sitze]]+TabDH[[#This Row],[Patt Auflösung]]</f>
        <v>0</v>
      </c>
      <c r="FL13" s="154">
        <f t="shared" si="2"/>
        <v>0</v>
      </c>
      <c r="FM13" s="154">
        <f t="shared" si="3"/>
        <v>0.25</v>
      </c>
      <c r="FN13" t="str">
        <f t="shared" si="4"/>
        <v>K.SITZ</v>
      </c>
    </row>
    <row r="14" spans="1:176" x14ac:dyDescent="0.25">
      <c r="A14" s="3"/>
      <c r="B14" s="56" t="s">
        <v>168</v>
      </c>
      <c r="C14" s="71">
        <v>2</v>
      </c>
      <c r="D14" s="71" t="s">
        <v>176</v>
      </c>
      <c r="E14" s="93">
        <f>Grunddaten[[#This Row],[Sitze im Hauptorgan]]/Grunddaten[[#Totals],[Sitze im Hauptorgan]]*Sitze_Ausschuss</f>
        <v>0.39999999999999997</v>
      </c>
      <c r="F14" s="110" t="b">
        <f>OR(Grunddaten[[#This Row],[Proporzgenaue Zahl Ausschuss]]&gt;=1,Grunddaten[[#This Row],[Sitze im Hauptorgan]]&gt;Sitze_Hauptorgan/(1+Sitze_Ausschuss))</f>
        <v>0</v>
      </c>
      <c r="G14" s="159" t="str">
        <f>IF(ROUNDDOWN(Grunddaten[[#This Row],[Proporzgenaue Zahl Ausschuss]],0)&lt;&gt;ROUNDUP(Grunddaten[[#This Row],[Proporzgenaue Zahl Ausschuss]],0), ROUNDDOWN(Grunddaten[[#This Row],[Proporzgenaue Zahl Ausschuss]],0)&amp;" oder "&amp;ROUNDUP(Grunddaten[[#This Row],[Proporzgenaue Zahl Ausschuss]],0),ROUND(Grunddaten[[#This Row],[Proporzgenaue Zahl Ausschuss]],0))</f>
        <v>0 oder 1</v>
      </c>
      <c r="H14" s="52" t="str">
        <f t="shared" si="0"/>
        <v>OK</v>
      </c>
      <c r="I14" s="52" t="str">
        <f>IF(TabSLS[[#This Row],[QK verletzt]],"NOK","OK")</f>
        <v>OK</v>
      </c>
      <c r="J14" s="53" t="str">
        <f>IF(TabDH[[#This Row],[QK verletzt]],"NOK","OK")</f>
        <v>OK</v>
      </c>
      <c r="K14" s="3"/>
      <c r="L14" s="92">
        <f>TabHN[[#This Row],[S ganz]]+IF(NOT(TabHN[[#This Row],[Patt]]),TabHN[[#This Row],[Restsitz]],0)</f>
        <v>0</v>
      </c>
      <c r="M14" s="29">
        <f>IF(TabHN[[#This Row],[Patt]],IF(Pattaufloesung="Los-Chance",TabHN[[#This Row],[Los Chance]],TabHN[[#This Row],[Pattgewinn]]+0),0)</f>
        <v>0.25</v>
      </c>
      <c r="N14" s="30">
        <f>INT(Grunddaten[[#This Row],[Proporzgenaue Zahl Ausschuss]])</f>
        <v>0</v>
      </c>
      <c r="O14" s="31">
        <f>ROUND(Grunddaten[[#This Row],[Proporzgenaue Zahl Ausschuss]]-TabHN[[#This Row],[S ganz]],4)</f>
        <v>0.4</v>
      </c>
      <c r="P14" s="32">
        <f>_xlfn.RANK.EQ(TabHN[[#This Row],[S Rest]],TabHN[S Rest],0)</f>
        <v>4</v>
      </c>
      <c r="Q14" s="30">
        <f>IF(TabHN[[#This Row],[Rng Rest]]&lt;=TabHN[[#Totals],[S Rest]],1,0)</f>
        <v>1</v>
      </c>
      <c r="R14" s="30" t="b">
        <f>AND(TabHN[[#This Row],[Restsitz]]=1,(COUNTIF(TabHN[Rng Rest],TabHN[[#This Row],[Rng Rest]])+TabHN[[#This Row],[Rng Rest]]-1)&gt;TabHN[[#Totals],[S Rest]])</f>
        <v>1</v>
      </c>
      <c r="S14" s="33">
        <f>IF(TabHN[[#This Row],[Patt]],(Sitze_Ausschuss-SUM(TabHN[Sitze]))/TabHN[[#Totals],[Patt]],0)</f>
        <v>0.25</v>
      </c>
      <c r="T14" s="34">
        <f>TabHN[[#This Row],[Patt]]*IF(Pattaufloesung="Stimmen",TabPatt[[#This Row],[Stimmen]],0)*1</f>
        <v>0</v>
      </c>
      <c r="U14" s="35" t="b">
        <f>_xlfn.RANK.EQ(TabHN[[#This Row],[Stimmen/Gelost]],TabHN[Stimmen/Gelost],0)&lt;=(Sitze_Ausschuss-SUM(TabHN[Sitze]))</f>
        <v>1</v>
      </c>
      <c r="V14" s="3"/>
      <c r="W14" s="36">
        <f>COUNTIF(TabSLS[[#This Row],[SP1]:[SP37]],"SITZ")</f>
        <v>0</v>
      </c>
      <c r="X14" s="37">
        <f>IF(TabSLS[[#This Row],[Patt?]],IF(Pattaufloesung="Los-Chance",TabSLS[[#This Row],[Los Chance]],TabSLS[[#This Row],[Pattgewinn]]+0),0)</f>
        <v>0</v>
      </c>
      <c r="Y14" s="38">
        <f>Grunddaten[[#This Row],[Sitze im Hauptorgan]]/_xlfn.NUMBERVALUE(MID(INDEX(TabSLS[[#Headers],[:1]:[:37]],COLUMN()-COLUMN(TabSLS[[#Headers],[:1]])+1),2,3))</f>
        <v>2</v>
      </c>
      <c r="Z14" s="39">
        <f>Grunddaten[[#This Row],[Sitze im Hauptorgan]]/_xlfn.NUMBERVALUE(MID(INDEX(TabSLS[[#Headers],[:1]:[:37]],COLUMN()-COLUMN(TabSLS[[#Headers],[:1]])+1),2,3))</f>
        <v>0.66666666666666663</v>
      </c>
      <c r="AA14" s="39">
        <f>Grunddaten[[#This Row],[Sitze im Hauptorgan]]/_xlfn.NUMBERVALUE(MID(INDEX(TabSLS[[#Headers],[:1]:[:37]],COLUMN()-COLUMN(TabSLS[[#Headers],[:1]])+1),2,3))</f>
        <v>0.4</v>
      </c>
      <c r="AB14" s="39">
        <f>Grunddaten[[#This Row],[Sitze im Hauptorgan]]/_xlfn.NUMBERVALUE(MID(INDEX(TabSLS[[#Headers],[:1]:[:37]],COLUMN()-COLUMN(TabSLS[[#Headers],[:1]])+1),2,3))</f>
        <v>0.2857142857142857</v>
      </c>
      <c r="AC14" s="39">
        <f>Grunddaten[[#This Row],[Sitze im Hauptorgan]]/_xlfn.NUMBERVALUE(MID(INDEX(TabSLS[[#Headers],[:1]:[:37]],COLUMN()-COLUMN(TabSLS[[#Headers],[:1]])+1),2,3))</f>
        <v>0.22222222222222221</v>
      </c>
      <c r="AD14" s="39">
        <f>Grunddaten[[#This Row],[Sitze im Hauptorgan]]/_xlfn.NUMBERVALUE(MID(INDEX(TabSLS[[#Headers],[:1]:[:37]],COLUMN()-COLUMN(TabSLS[[#Headers],[:1]])+1),2,3))</f>
        <v>0.18181818181818182</v>
      </c>
      <c r="AE14" s="39">
        <f>Grunddaten[[#This Row],[Sitze im Hauptorgan]]/_xlfn.NUMBERVALUE(MID(INDEX(TabSLS[[#Headers],[:1]:[:37]],COLUMN()-COLUMN(TabSLS[[#Headers],[:1]])+1),2,3))</f>
        <v>0.15384615384615385</v>
      </c>
      <c r="AF14" s="39">
        <f>Grunddaten[[#This Row],[Sitze im Hauptorgan]]/_xlfn.NUMBERVALUE(MID(INDEX(TabSLS[[#Headers],[:1]:[:37]],COLUMN()-COLUMN(TabSLS[[#Headers],[:1]])+1),2,3))</f>
        <v>0.13333333333333333</v>
      </c>
      <c r="AG14" s="39">
        <f>Grunddaten[[#This Row],[Sitze im Hauptorgan]]/_xlfn.NUMBERVALUE(MID(INDEX(TabSLS[[#Headers],[:1]:[:37]],COLUMN()-COLUMN(TabSLS[[#Headers],[:1]])+1),2,3))</f>
        <v>0.11764705882352941</v>
      </c>
      <c r="AH14" s="39">
        <f>Grunddaten[[#This Row],[Sitze im Hauptorgan]]/_xlfn.NUMBERVALUE(MID(INDEX(TabSLS[[#Headers],[:1]:[:37]],COLUMN()-COLUMN(TabSLS[[#Headers],[:1]])+1),2,3))</f>
        <v>0.10526315789473684</v>
      </c>
      <c r="AI14" s="39">
        <f>Grunddaten[[#This Row],[Sitze im Hauptorgan]]/_xlfn.NUMBERVALUE(MID(INDEX(TabSLS[[#Headers],[:1]:[:37]],COLUMN()-COLUMN(TabSLS[[#Headers],[:1]])+1),2,3))</f>
        <v>9.5238095238095233E-2</v>
      </c>
      <c r="AJ14" s="39">
        <f>Grunddaten[[#This Row],[Sitze im Hauptorgan]]/_xlfn.NUMBERVALUE(MID(INDEX(TabSLS[[#Headers],[:1]:[:37]],COLUMN()-COLUMN(TabSLS[[#Headers],[:1]])+1),2,3))</f>
        <v>8.6956521739130432E-2</v>
      </c>
      <c r="AK14" s="39">
        <f>Grunddaten[[#This Row],[Sitze im Hauptorgan]]/_xlfn.NUMBERVALUE(MID(INDEX(TabSLS[[#Headers],[:1]:[:37]],COLUMN()-COLUMN(TabSLS[[#Headers],[:1]])+1),2,3))</f>
        <v>0.08</v>
      </c>
      <c r="AL14" s="39">
        <f>Grunddaten[[#This Row],[Sitze im Hauptorgan]]/_xlfn.NUMBERVALUE(MID(INDEX(TabSLS[[#Headers],[:1]:[:37]],COLUMN()-COLUMN(TabSLS[[#Headers],[:1]])+1),2,3))</f>
        <v>7.407407407407407E-2</v>
      </c>
      <c r="AM14" s="39">
        <f>Grunddaten[[#This Row],[Sitze im Hauptorgan]]/_xlfn.NUMBERVALUE(MID(INDEX(TabSLS[[#Headers],[:1]:[:37]],COLUMN()-COLUMN(TabSLS[[#Headers],[:1]])+1),2,3))</f>
        <v>6.8965517241379309E-2</v>
      </c>
      <c r="AN14" s="39">
        <f>Grunddaten[[#This Row],[Sitze im Hauptorgan]]/_xlfn.NUMBERVALUE(MID(INDEX(TabSLS[[#Headers],[:1]:[:37]],COLUMN()-COLUMN(TabSLS[[#Headers],[:1]])+1),2,3))</f>
        <v>6.4516129032258063E-2</v>
      </c>
      <c r="AO14" s="39">
        <f>Grunddaten[[#This Row],[Sitze im Hauptorgan]]/_xlfn.NUMBERVALUE(MID(INDEX(TabSLS[[#Headers],[:1]:[:37]],COLUMN()-COLUMN(TabSLS[[#Headers],[:1]])+1),2,3))</f>
        <v>6.0606060606060608E-2</v>
      </c>
      <c r="AP14" s="39">
        <f>Grunddaten[[#This Row],[Sitze im Hauptorgan]]/_xlfn.NUMBERVALUE(MID(INDEX(TabSLS[[#Headers],[:1]:[:37]],COLUMN()-COLUMN(TabSLS[[#Headers],[:1]])+1),2,3))</f>
        <v>5.7142857142857141E-2</v>
      </c>
      <c r="AQ14" s="40">
        <f>Grunddaten[[#This Row],[Sitze im Hauptorgan]]/_xlfn.NUMBERVALUE(MID(INDEX(TabSLS[[#Headers],[:1]:[:37]],COLUMN()-COLUMN(TabSLS[[#Headers],[:1]])+1),2,3))</f>
        <v>5.4054054054054057E-2</v>
      </c>
      <c r="AR14" s="41">
        <f>_xlfn.RANK.EQ(TabSLS[[#This Row],[:1]],TabSLS[[:1]:[:37]],0)</f>
        <v>16</v>
      </c>
      <c r="AS14" s="42">
        <f>_xlfn.RANK.EQ(TabSLS[[#This Row],[:3]],TabSLS[[:1]:[:37]],0)</f>
        <v>51</v>
      </c>
      <c r="AT14" s="42">
        <f>_xlfn.RANK.EQ(TabSLS[[#This Row],[:5]],TabSLS[[:1]:[:37]],0)</f>
        <v>79</v>
      </c>
      <c r="AU14" s="42">
        <f>_xlfn.RANK.EQ(TabSLS[[#This Row],[:7]],TabSLS[[:1]:[:37]],0)</f>
        <v>96</v>
      </c>
      <c r="AV14" s="42">
        <f>_xlfn.RANK.EQ(TabSLS[[#This Row],[:9]],TabSLS[[:1]:[:37]],0)</f>
        <v>110</v>
      </c>
      <c r="AW14" s="42">
        <f>_xlfn.RANK.EQ(TabSLS[[#This Row],[:11]],TabSLS[[:1]:[:37]],0)</f>
        <v>119</v>
      </c>
      <c r="AX14" s="42">
        <f>_xlfn.RANK.EQ(TabSLS[[#This Row],[:13]],TabSLS[[:1]:[:37]],0)</f>
        <v>127</v>
      </c>
      <c r="AY14" s="42">
        <f>_xlfn.RANK.EQ(TabSLS[[#This Row],[:15]],TabSLS[[:1]:[:37]],0)</f>
        <v>135</v>
      </c>
      <c r="AZ14" s="42">
        <f>_xlfn.RANK.EQ(TabSLS[[#This Row],[:17]],TabSLS[[:1]:[:37]],0)</f>
        <v>143</v>
      </c>
      <c r="BA14" s="42">
        <f>_xlfn.RANK.EQ(TabSLS[[#This Row],[:19]],TabSLS[[:1]:[:37]],0)</f>
        <v>151</v>
      </c>
      <c r="BB14" s="42">
        <f>_xlfn.RANK.EQ(TabSLS[[#This Row],[:21]],TabSLS[[:1]:[:37]],0)</f>
        <v>157</v>
      </c>
      <c r="BC14" s="42">
        <f>_xlfn.RANK.EQ(TabSLS[[#This Row],[:23]],TabSLS[[:1]:[:37]],0)</f>
        <v>163</v>
      </c>
      <c r="BD14" s="42">
        <f>_xlfn.RANK.EQ(TabSLS[[#This Row],[:25]],TabSLS[[:1]:[:37]],0)</f>
        <v>169</v>
      </c>
      <c r="BE14" s="42">
        <f>_xlfn.RANK.EQ(TabSLS[[#This Row],[:27]],TabSLS[[:1]:[:37]],0)</f>
        <v>174</v>
      </c>
      <c r="BF14" s="42">
        <f>_xlfn.RANK.EQ(TabSLS[[#This Row],[:29]],TabSLS[[:1]:[:37]],0)</f>
        <v>178</v>
      </c>
      <c r="BG14" s="42">
        <f>_xlfn.RANK.EQ(TabSLS[[#This Row],[:31]],TabSLS[[:1]:[:37]],0)</f>
        <v>183</v>
      </c>
      <c r="BH14" s="42">
        <f>_xlfn.RANK.EQ(TabSLS[[#This Row],[:33]],TabSLS[[:1]:[:37]],0)</f>
        <v>187</v>
      </c>
      <c r="BI14" s="42">
        <f>_xlfn.RANK.EQ(TabSLS[[#This Row],[:35]],TabSLS[[:1]:[:37]],0)</f>
        <v>192</v>
      </c>
      <c r="BJ14" s="43">
        <f>_xlfn.RANK.EQ(TabSLS[[#This Row],[:37]],TabSLS[[:1]:[:37]],0)</f>
        <v>196</v>
      </c>
      <c r="BK14" s="44" t="str">
        <f>IF(TabSLS[[#This Row],[R1]]&lt;=Sitze_Ausschuss,IF(TabSLS[[#This Row],[R1]]+COUNTIF(TabSLS[[R1]:[R37]],TabSLS[[#This Row],[R1]])-1&lt;=Sitze_Ausschuss,"SITZ","PATT"),"")</f>
        <v/>
      </c>
      <c r="BL14" s="45" t="str">
        <f>IF(TabSLS[[#This Row],[R3]]&lt;=Sitze_Ausschuss,IF(TabSLS[[#This Row],[R3]]+COUNTIF(TabSLS[[R1]:[R37]],TabSLS[[#This Row],[R3]])-1&lt;=Sitze_Ausschuss,"SITZ","PATT"),"")</f>
        <v/>
      </c>
      <c r="BM14" s="45" t="str">
        <f>IF(TabSLS[[#This Row],[R5]]&lt;=Sitze_Ausschuss,IF(TabSLS[[#This Row],[R5]]+COUNTIF(TabSLS[[R1]:[R37]],TabSLS[[#This Row],[R5]])-1&lt;=Sitze_Ausschuss,"SITZ","PATT"),"")</f>
        <v/>
      </c>
      <c r="BN14" s="45" t="str">
        <f>IF(TabSLS[[#This Row],[R7]]&lt;=Sitze_Ausschuss,IF(TabSLS[[#This Row],[R7]]+COUNTIF(TabSLS[[R1]:[R37]],TabSLS[[#This Row],[R7]])-1&lt;=Sitze_Ausschuss,"SITZ","PATT"),"")</f>
        <v/>
      </c>
      <c r="BO14" s="45" t="str">
        <f>IF(TabSLS[[#This Row],[R9]]&lt;=Sitze_Ausschuss,IF(TabSLS[[#This Row],[R9]]+COUNTIF(TabSLS[[R1]:[R37]],TabSLS[[#This Row],[R9]])-1&lt;=Sitze_Ausschuss,"SITZ","PATT"),"")</f>
        <v/>
      </c>
      <c r="BP14" s="45" t="str">
        <f>IF(TabSLS[[#This Row],[R11]]&lt;=Sitze_Ausschuss,IF(TabSLS[[#This Row],[R11]]+COUNTIF(TabSLS[[R1]:[R37]],TabSLS[[#This Row],[R11]])-1&lt;=Sitze_Ausschuss,"SITZ","PATT"),"")</f>
        <v/>
      </c>
      <c r="BQ14" s="45" t="str">
        <f>IF(TabSLS[[#This Row],[R13]]&lt;=Sitze_Ausschuss,IF(TabSLS[[#This Row],[R13]]+COUNTIF(TabSLS[[R1]:[R37]],TabSLS[[#This Row],[R13]])-1&lt;=Sitze_Ausschuss,"SITZ","PATT"),"")</f>
        <v/>
      </c>
      <c r="BR14" s="45" t="str">
        <f>IF(TabSLS[[#This Row],[R15]]&lt;=Sitze_Ausschuss,IF(TabSLS[[#This Row],[R15]]+COUNTIF(TabSLS[[R1]:[R37]],TabSLS[[#This Row],[R15]])-1&lt;=Sitze_Ausschuss,"SITZ","PATT"),"")</f>
        <v/>
      </c>
      <c r="BS14" s="45" t="str">
        <f>IF(TabSLS[[#This Row],[R17]]&lt;=Sitze_Ausschuss,IF(TabSLS[[#This Row],[R17]]+COUNTIF(TabSLS[[R1]:[R37]],TabSLS[[#This Row],[R17]])-1&lt;=Sitze_Ausschuss,"SITZ","PATT"),"")</f>
        <v/>
      </c>
      <c r="BT14" s="45" t="str">
        <f>IF(TabSLS[[#This Row],[R19]]&lt;=Sitze_Ausschuss,IF(TabSLS[[#This Row],[R19]]+COUNTIF(TabSLS[[R1]:[R37]],TabSLS[[#This Row],[R19]])-1&lt;=Sitze_Ausschuss,"SITZ","PATT"),"")</f>
        <v/>
      </c>
      <c r="BU14" s="45" t="str">
        <f>IF(TabSLS[[#This Row],[R21]]&lt;=Sitze_Ausschuss,IF(TabSLS[[#This Row],[R21]]+COUNTIF(TabSLS[[R1]:[R37]],TabSLS[[#This Row],[R21]])-1&lt;=Sitze_Ausschuss,"SITZ","PATT"),"")</f>
        <v/>
      </c>
      <c r="BV14" s="45" t="str">
        <f>IF(TabSLS[[#This Row],[R23]]&lt;=Sitze_Ausschuss,IF(TabSLS[[#This Row],[R23]]+COUNTIF(TabSLS[[R1]:[R37]],TabSLS[[#This Row],[R23]])-1&lt;=Sitze_Ausschuss,"SITZ","PATT"),"")</f>
        <v/>
      </c>
      <c r="BW14" s="45" t="str">
        <f>IF(TabSLS[[#This Row],[R25]]&lt;=Sitze_Ausschuss,IF(TabSLS[[#This Row],[R25]]+COUNTIF(TabSLS[[R1]:[R37]],TabSLS[[#This Row],[R25]])-1&lt;=Sitze_Ausschuss,"SITZ","PATT"),"")</f>
        <v/>
      </c>
      <c r="BX14" s="45" t="str">
        <f>IF(TabSLS[[#This Row],[R27]]&lt;=Sitze_Ausschuss,IF(TabSLS[[#This Row],[R27]]+COUNTIF(TabSLS[[R1]:[R37]],TabSLS[[#This Row],[R27]])-1&lt;=Sitze_Ausschuss,"SITZ","PATT"),"")</f>
        <v/>
      </c>
      <c r="BY14" s="45" t="str">
        <f>IF(TabSLS[[#This Row],[R29]]&lt;=Sitze_Ausschuss,IF(TabSLS[[#This Row],[R29]]+COUNTIF(TabSLS[[R1]:[R37]],TabSLS[[#This Row],[R29]])-1&lt;=Sitze_Ausschuss,"SITZ","PATT"),"")</f>
        <v/>
      </c>
      <c r="BZ14" s="45" t="str">
        <f>IF(TabSLS[[#This Row],[R31]]&lt;=Sitze_Ausschuss,IF(TabSLS[[#This Row],[R31]]+COUNTIF(TabSLS[[R1]:[R37]],TabSLS[[#This Row],[R31]])-1&lt;=Sitze_Ausschuss,"SITZ","PATT"),"")</f>
        <v/>
      </c>
      <c r="CA14" s="45" t="str">
        <f>IF(TabSLS[[#This Row],[R33]]&lt;=Sitze_Ausschuss,IF(TabSLS[[#This Row],[R33]]+COUNTIF(TabSLS[[R1]:[R37]],TabSLS[[#This Row],[R33]])-1&lt;=Sitze_Ausschuss,"SITZ","PATT"),"")</f>
        <v/>
      </c>
      <c r="CB14" s="45" t="str">
        <f>IF(TabSLS[[#This Row],[R35]]&lt;=Sitze_Ausschuss,IF(TabSLS[[#This Row],[R35]]+COUNTIF(TabSLS[[R1]:[R37]],TabSLS[[#This Row],[R35]])-1&lt;=Sitze_Ausschuss,"SITZ","PATT"),"")</f>
        <v/>
      </c>
      <c r="CC14" s="46" t="str">
        <f>IF(TabSLS[[#This Row],[R37]]&lt;=Sitze_Ausschuss,IF(TabSLS[[#This Row],[R37]]+COUNTIF(TabSLS[[R1]:[R37]],TabSLS[[#This Row],[R37]])-1&lt;=Sitze_Ausschuss,"SITZ","PATT"),"")</f>
        <v/>
      </c>
      <c r="CD14" s="47" t="b">
        <f>COUNTIF(TabSLS[[#This Row],[SP1]:[SP37]],"PATT")&gt;0</f>
        <v>0</v>
      </c>
      <c r="CE14" s="33">
        <f>IF(TabSLS[[#This Row],[Patt?]],(Sitze_Ausschuss-SUM(TabSLS[Sitze]))/TabSLS[[#Totals],[Patt?]],0)</f>
        <v>0</v>
      </c>
      <c r="CF14" s="48">
        <f>TabSLS[[#This Row],[Patt?]]*IF(Pattaufloesung="Stimmen",TabPatt[[#This Row],[Stimmen]],0)*1</f>
        <v>0</v>
      </c>
      <c r="CG14" s="49" t="b">
        <f>_xlfn.RANK.EQ(TabSLS[[#This Row],[Stimmen Gelost]],TabSLS[Stimmen Gelost],0)&lt;=(Sitze_Ausschuss-SUM(TabSLS[Sitze]))</f>
        <v>0</v>
      </c>
      <c r="CH14" s="50" t="b">
        <f>OR(TabSLS[[#This Row],[Sitze]]&lt;ROUNDDOWN(Grunddaten[[#This Row],[Proporzgenaue Zahl Ausschuss]],0),TabSLS[[#This Row],[Sitze]]+(TabSLS[[#This Row],[Patt?]]*1)&gt;ROUNDUP(Grunddaten[[#This Row],[Proporzgenaue Zahl Ausschuss]],0))</f>
        <v>0</v>
      </c>
      <c r="CI14" s="3"/>
      <c r="CJ14" s="36">
        <f>COUNTIF(TabDH[[#This Row],[SP1]:[SP19]],"SITZ")</f>
        <v>0</v>
      </c>
      <c r="CK14" s="37">
        <f>IF(TabDH[[#This Row],[Patt]],IF(Pattaufloesung="Los-Chance",TabDH[[#This Row],[Los Chance]],TabDH[[#This Row],[Pattgewinn]]+0),0)</f>
        <v>0</v>
      </c>
      <c r="CL14" s="38">
        <f>Grunddaten[[#This Row],[Sitze im Hauptorgan]]/_xlfn.NUMBERVALUE(MID(INDEX(TabDH[[#Headers],[:1]:[:19]],COLUMN()-COLUMN(TabDH[[#Headers],[:1]])+1),2,3))</f>
        <v>2</v>
      </c>
      <c r="CM14" s="39">
        <f>Grunddaten[[#This Row],[Sitze im Hauptorgan]]/_xlfn.NUMBERVALUE(MID(INDEX(TabDH[[#Headers],[:1]:[:19]],COLUMN()-COLUMN(TabDH[[#Headers],[:1]])+1),2,3))</f>
        <v>1</v>
      </c>
      <c r="CN14" s="39">
        <f>Grunddaten[[#This Row],[Sitze im Hauptorgan]]/_xlfn.NUMBERVALUE(MID(INDEX(TabDH[[#Headers],[:1]:[:19]],COLUMN()-COLUMN(TabDH[[#Headers],[:1]])+1),2,3))</f>
        <v>0.66666666666666663</v>
      </c>
      <c r="CO14" s="39">
        <f>Grunddaten[[#This Row],[Sitze im Hauptorgan]]/_xlfn.NUMBERVALUE(MID(INDEX(TabDH[[#Headers],[:1]:[:19]],COLUMN()-COLUMN(TabDH[[#Headers],[:1]])+1),2,3))</f>
        <v>0.5</v>
      </c>
      <c r="CP14" s="39">
        <f>Grunddaten[[#This Row],[Sitze im Hauptorgan]]/_xlfn.NUMBERVALUE(MID(INDEX(TabDH[[#Headers],[:1]:[:19]],COLUMN()-COLUMN(TabDH[[#Headers],[:1]])+1),2,3))</f>
        <v>0.4</v>
      </c>
      <c r="CQ14" s="39">
        <f>Grunddaten[[#This Row],[Sitze im Hauptorgan]]/_xlfn.NUMBERVALUE(MID(INDEX(TabDH[[#Headers],[:1]:[:19]],COLUMN()-COLUMN(TabDH[[#Headers],[:1]])+1),2,3))</f>
        <v>0.33333333333333331</v>
      </c>
      <c r="CR14" s="39">
        <f>Grunddaten[[#This Row],[Sitze im Hauptorgan]]/_xlfn.NUMBERVALUE(MID(INDEX(TabDH[[#Headers],[:1]:[:19]],COLUMN()-COLUMN(TabDH[[#Headers],[:1]])+1),2,3))</f>
        <v>0.2857142857142857</v>
      </c>
      <c r="CS14" s="39">
        <f>Grunddaten[[#This Row],[Sitze im Hauptorgan]]/_xlfn.NUMBERVALUE(MID(INDEX(TabDH[[#Headers],[:1]:[:19]],COLUMN()-COLUMN(TabDH[[#Headers],[:1]])+1),2,3))</f>
        <v>0.25</v>
      </c>
      <c r="CT14" s="39">
        <f>Grunddaten[[#This Row],[Sitze im Hauptorgan]]/_xlfn.NUMBERVALUE(MID(INDEX(TabDH[[#Headers],[:1]:[:19]],COLUMN()-COLUMN(TabDH[[#Headers],[:1]])+1),2,3))</f>
        <v>0.22222222222222221</v>
      </c>
      <c r="CU14" s="39">
        <f>Grunddaten[[#This Row],[Sitze im Hauptorgan]]/_xlfn.NUMBERVALUE(MID(INDEX(TabDH[[#Headers],[:1]:[:19]],COLUMN()-COLUMN(TabDH[[#Headers],[:1]])+1),2,3))</f>
        <v>0.2</v>
      </c>
      <c r="CV14" s="39">
        <f>Grunddaten[[#This Row],[Sitze im Hauptorgan]]/_xlfn.NUMBERVALUE(MID(INDEX(TabDH[[#Headers],[:1]:[:19]],COLUMN()-COLUMN(TabDH[[#Headers],[:1]])+1),2,3))</f>
        <v>0.18181818181818182</v>
      </c>
      <c r="CW14" s="39">
        <f>Grunddaten[[#This Row],[Sitze im Hauptorgan]]/_xlfn.NUMBERVALUE(MID(INDEX(TabDH[[#Headers],[:1]:[:19]],COLUMN()-COLUMN(TabDH[[#Headers],[:1]])+1),2,3))</f>
        <v>0.16666666666666666</v>
      </c>
      <c r="CX14" s="39">
        <f>Grunddaten[[#This Row],[Sitze im Hauptorgan]]/_xlfn.NUMBERVALUE(MID(INDEX(TabDH[[#Headers],[:1]:[:19]],COLUMN()-COLUMN(TabDH[[#Headers],[:1]])+1),2,3))</f>
        <v>0.15384615384615385</v>
      </c>
      <c r="CY14" s="39">
        <f>Grunddaten[[#This Row],[Sitze im Hauptorgan]]/_xlfn.NUMBERVALUE(MID(INDEX(TabDH[[#Headers],[:1]:[:19]],COLUMN()-COLUMN(TabDH[[#Headers],[:1]])+1),2,3))</f>
        <v>0.14285714285714285</v>
      </c>
      <c r="CZ14" s="39">
        <f>Grunddaten[[#This Row],[Sitze im Hauptorgan]]/_xlfn.NUMBERVALUE(MID(INDEX(TabDH[[#Headers],[:1]:[:19]],COLUMN()-COLUMN(TabDH[[#Headers],[:1]])+1),2,3))</f>
        <v>0.13333333333333333</v>
      </c>
      <c r="DA14" s="39">
        <f>Grunddaten[[#This Row],[Sitze im Hauptorgan]]/_xlfn.NUMBERVALUE(MID(INDEX(TabDH[[#Headers],[:1]:[:19]],COLUMN()-COLUMN(TabDH[[#Headers],[:1]])+1),2,3))</f>
        <v>0.125</v>
      </c>
      <c r="DB14" s="39">
        <f>Grunddaten[[#This Row],[Sitze im Hauptorgan]]/_xlfn.NUMBERVALUE(MID(INDEX(TabDH[[#Headers],[:1]:[:19]],COLUMN()-COLUMN(TabDH[[#Headers],[:1]])+1),2,3))</f>
        <v>0.11764705882352941</v>
      </c>
      <c r="DC14" s="39">
        <f>Grunddaten[[#This Row],[Sitze im Hauptorgan]]/_xlfn.NUMBERVALUE(MID(INDEX(TabDH[[#Headers],[:1]:[:19]],COLUMN()-COLUMN(TabDH[[#Headers],[:1]])+1),2,3))</f>
        <v>0.1111111111111111</v>
      </c>
      <c r="DD14" s="40">
        <f>Grunddaten[[#This Row],[Sitze im Hauptorgan]]/_xlfn.NUMBERVALUE(MID(INDEX(TabDH[[#Headers],[:1]:[:19]],COLUMN()-COLUMN(TabDH[[#Headers],[:1]])+1),2,3))</f>
        <v>0.10526315789473684</v>
      </c>
      <c r="DE14" s="41">
        <f>_xlfn.RANK.EQ(TabDH[[#This Row],[:1]],TabDH[[:1]:[:19]],0)</f>
        <v>26</v>
      </c>
      <c r="DF14" s="42">
        <f>_xlfn.RANK.EQ(TabDH[[#This Row],[:2]],TabDH[[:1]:[:19]],0)</f>
        <v>60</v>
      </c>
      <c r="DG14" s="42">
        <f>_xlfn.RANK.EQ(TabDH[[#This Row],[:3]],TabDH[[:1]:[:19]],0)</f>
        <v>82</v>
      </c>
      <c r="DH14" s="42">
        <f>_xlfn.RANK.EQ(TabDH[[#This Row],[:4]],TabDH[[:1]:[:19]],0)</f>
        <v>98</v>
      </c>
      <c r="DI14" s="42">
        <f>_xlfn.RANK.EQ(TabDH[[#This Row],[:5]],TabDH[[:1]:[:19]],0)</f>
        <v>111</v>
      </c>
      <c r="DJ14" s="42">
        <f>_xlfn.RANK.EQ(TabDH[[#This Row],[:6]],TabDH[[:1]:[:19]],0)</f>
        <v>118</v>
      </c>
      <c r="DK14" s="42">
        <f>_xlfn.RANK.EQ(TabDH[[#This Row],[:7]],TabDH[[:1]:[:19]],0)</f>
        <v>127</v>
      </c>
      <c r="DL14" s="42">
        <f>_xlfn.RANK.EQ(TabDH[[#This Row],[:8]],TabDH[[:1]:[:19]],0)</f>
        <v>134</v>
      </c>
      <c r="DM14" s="42">
        <f>_xlfn.RANK.EQ(TabDH[[#This Row],[:9]],TabDH[[:1]:[:19]],0)</f>
        <v>143</v>
      </c>
      <c r="DN14" s="42">
        <f>_xlfn.RANK.EQ(TabDH[[#This Row],[:10]],TabDH[[:1]:[:19]],0)</f>
        <v>150</v>
      </c>
      <c r="DO14" s="42">
        <f>_xlfn.RANK.EQ(TabDH[[#This Row],[:11]],TabDH[[:1]:[:19]],0)</f>
        <v>157</v>
      </c>
      <c r="DP14" s="42">
        <f>_xlfn.RANK.EQ(TabDH[[#This Row],[:12]],TabDH[[:1]:[:19]],0)</f>
        <v>162</v>
      </c>
      <c r="DQ14" s="42">
        <f>_xlfn.RANK.EQ(TabDH[[#This Row],[:13]],TabDH[[:1]:[:19]],0)</f>
        <v>169</v>
      </c>
      <c r="DR14" s="42">
        <f>_xlfn.RANK.EQ(TabDH[[#This Row],[:14]],TabDH[[:1]:[:19]],0)</f>
        <v>173</v>
      </c>
      <c r="DS14" s="42">
        <f>_xlfn.RANK.EQ(TabDH[[#This Row],[:15]],TabDH[[:1]:[:19]],0)</f>
        <v>178</v>
      </c>
      <c r="DT14" s="42">
        <f>_xlfn.RANK.EQ(TabDH[[#This Row],[:16]],TabDH[[:1]:[:19]],0)</f>
        <v>182</v>
      </c>
      <c r="DU14" s="42">
        <f>_xlfn.RANK.EQ(TabDH[[#This Row],[:17]],TabDH[[:1]:[:19]],0)</f>
        <v>187</v>
      </c>
      <c r="DV14" s="42">
        <f>_xlfn.RANK.EQ(TabDH[[#This Row],[:18]],TabDH[[:1]:[:19]],0)</f>
        <v>191</v>
      </c>
      <c r="DW14" s="43">
        <f>_xlfn.RANK.EQ(TabDH[[#This Row],[:19]],TabDH[[:1]:[:19]],0)</f>
        <v>196</v>
      </c>
      <c r="DX14" s="44" t="str">
        <f>IF(TabDH[[#This Row],[R1]]&lt;=Sitze_Ausschuss,IF(TabDH[[#This Row],[R1]]+COUNTIF(TabDH[[R1]:[R19]],TabDH[[#This Row],[R1]])-1&lt;=Sitze_Ausschuss,"SITZ","PATT"),"")</f>
        <v/>
      </c>
      <c r="DY14" s="45" t="str">
        <f>IF(TabDH[[#This Row],[R2]]&lt;=Sitze_Ausschuss,IF(TabDH[[#This Row],[R2]]+COUNTIF(TabDH[[R1]:[R19]],TabDH[[#This Row],[R2]])-1&lt;=Sitze_Ausschuss,"SITZ","PATT"),"")</f>
        <v/>
      </c>
      <c r="DZ14" s="45" t="str">
        <f>IF(TabDH[[#This Row],[R3]]&lt;=Sitze_Ausschuss,IF(TabDH[[#This Row],[R3]]+COUNTIF(TabDH[[R1]:[R19]],TabDH[[#This Row],[R3]])-1&lt;=Sitze_Ausschuss,"SITZ","PATT"),"")</f>
        <v/>
      </c>
      <c r="EA14" s="45" t="str">
        <f>IF(TabDH[[#This Row],[R4]]&lt;=Sitze_Ausschuss,IF(TabDH[[#This Row],[R4]]+COUNTIF(TabDH[[R1]:[R19]],TabDH[[#This Row],[R4]])-1&lt;=Sitze_Ausschuss,"SITZ","PATT"),"")</f>
        <v/>
      </c>
      <c r="EB14" s="45" t="str">
        <f>IF(TabDH[[#This Row],[R5]]&lt;=Sitze_Ausschuss,IF(TabDH[[#This Row],[R5]]+COUNTIF(TabDH[[R1]:[R19]],TabDH[[#This Row],[R5]])-1&lt;=Sitze_Ausschuss,"SITZ","PATT"),"")</f>
        <v/>
      </c>
      <c r="EC14" s="45" t="str">
        <f>IF(TabDH[[#This Row],[R6]]&lt;=Sitze_Ausschuss,IF(TabDH[[#This Row],[R6]]+COUNTIF(TabDH[[R1]:[R19]],TabDH[[#This Row],[R6]])-1&lt;=Sitze_Ausschuss,"SITZ","PATT"),"")</f>
        <v/>
      </c>
      <c r="ED14" s="45" t="str">
        <f>IF(TabDH[[#This Row],[R7]]&lt;=Sitze_Ausschuss,IF(TabDH[[#This Row],[R7]]+COUNTIF(TabDH[[R1]:[R19]],TabDH[[#This Row],[R7]])-1&lt;=Sitze_Ausschuss,"SITZ","PATT"),"")</f>
        <v/>
      </c>
      <c r="EE14" s="45" t="str">
        <f>IF(TabDH[[#This Row],[R8]]&lt;=Sitze_Ausschuss,IF(TabDH[[#This Row],[R8]]+COUNTIF(TabDH[[R1]:[R19]],TabDH[[#This Row],[R8]])-1&lt;=Sitze_Ausschuss,"SITZ","PATT"),"")</f>
        <v/>
      </c>
      <c r="EF14" s="45" t="str">
        <f>IF(TabDH[[#This Row],[R9]]&lt;=Sitze_Ausschuss,IF(TabDH[[#This Row],[R9]]+COUNTIF(TabDH[[R1]:[R19]],TabDH[[#This Row],[R9]])-1&lt;=Sitze_Ausschuss,"SITZ","PATT"),"")</f>
        <v/>
      </c>
      <c r="EG14" s="45" t="str">
        <f>IF(TabDH[[#This Row],[R10]]&lt;=Sitze_Ausschuss,IF(TabDH[[#This Row],[R10]]+COUNTIF(TabDH[[R1]:[R19]],TabDH[[#This Row],[R10]])-1&lt;=Sitze_Ausschuss,"SITZ","PATT"),"")</f>
        <v/>
      </c>
      <c r="EH14" s="45" t="str">
        <f>IF(TabDH[[#This Row],[R11]]&lt;=Sitze_Ausschuss,IF(TabDH[[#This Row],[R11]]+COUNTIF(TabDH[[R1]:[R19]],TabDH[[#This Row],[R11]])-1&lt;=Sitze_Ausschuss,"SITZ","PATT"),"")</f>
        <v/>
      </c>
      <c r="EI14" s="45" t="str">
        <f>IF(TabDH[[#This Row],[R12]]&lt;=Sitze_Ausschuss,IF(TabDH[[#This Row],[R12]]+COUNTIF(TabDH[[R1]:[R19]],TabDH[[#This Row],[R12]])-1&lt;=Sitze_Ausschuss,"SITZ","PATT"),"")</f>
        <v/>
      </c>
      <c r="EJ14" s="45" t="str">
        <f>IF(TabDH[[#This Row],[R13]]&lt;=Sitze_Ausschuss,IF(TabDH[[#This Row],[R13]]+COUNTIF(TabDH[[R1]:[R19]],TabDH[[#This Row],[R13]])-1&lt;=Sitze_Ausschuss,"SITZ","PATT"),"")</f>
        <v/>
      </c>
      <c r="EK14" s="45" t="str">
        <f>IF(TabDH[[#This Row],[R14]]&lt;=Sitze_Ausschuss,IF(TabDH[[#This Row],[R14]]+COUNTIF(TabDH[[R1]:[R19]],TabDH[[#This Row],[R14]])-1&lt;=Sitze_Ausschuss,"SITZ","PATT"),"")</f>
        <v/>
      </c>
      <c r="EL14" s="45" t="str">
        <f>IF(TabDH[[#This Row],[R15]]&lt;=Sitze_Ausschuss,IF(TabDH[[#This Row],[R15]]+COUNTIF(TabDH[[R1]:[R19]],TabDH[[#This Row],[R15]])-1&lt;=Sitze_Ausschuss,"SITZ","PATT"),"")</f>
        <v/>
      </c>
      <c r="EM14" s="45" t="str">
        <f>IF(TabDH[[#This Row],[R16]]&lt;=Sitze_Ausschuss,IF(TabDH[[#This Row],[R16]]+COUNTIF(TabDH[[R1]:[R19]],TabDH[[#This Row],[R16]])-1&lt;=Sitze_Ausschuss,"SITZ","PATT"),"")</f>
        <v/>
      </c>
      <c r="EN14" s="45" t="str">
        <f>IF(TabDH[[#This Row],[R17]]&lt;=Sitze_Ausschuss,IF(TabDH[[#This Row],[R17]]+COUNTIF(TabDH[[R1]:[R19]],TabDH[[#This Row],[R17]])-1&lt;=Sitze_Ausschuss,"SITZ","PATT"),"")</f>
        <v/>
      </c>
      <c r="EO14" s="45" t="str">
        <f>IF(TabDH[[#This Row],[R18]]&lt;=Sitze_Ausschuss,IF(TabDH[[#This Row],[R18]]+COUNTIF(TabDH[[R1]:[R19]],TabDH[[#This Row],[R18]])-1&lt;=Sitze_Ausschuss,"SITZ","PATT"),"")</f>
        <v/>
      </c>
      <c r="EP14" s="45" t="str">
        <f>IF(TabDH[[#This Row],[R19]]&lt;=Sitze_Ausschuss,IF(TabDH[[#This Row],[R19]]+COUNTIF(TabDH[[R1]:[R19]],TabDH[[#This Row],[R19]])-1&lt;=Sitze_Ausschuss,"SITZ","PATT"),"")</f>
        <v/>
      </c>
      <c r="EQ14" s="47" t="b">
        <f>COUNTIF(TabDH[[#This Row],[SP1]:[SP19]],"PATT")&gt;0</f>
        <v>0</v>
      </c>
      <c r="ER14" s="33">
        <f>IF(TabDH[[#This Row],[Patt]],(Sitze_Ausschuss-SUM(TabDH[Sitze]))/TabDH[[#Totals],[Patt]],0)</f>
        <v>0</v>
      </c>
      <c r="ES14" s="48">
        <f>TabDH[[#This Row],[Patt]]*IF(Pattaufloesung="Stimmen",TabPatt[[#This Row],[Stimmen]],0)*1</f>
        <v>0</v>
      </c>
      <c r="ET14" s="49" t="b">
        <f>_xlfn.RANK.EQ(TabDH[[#This Row],[Stimmen/Gelost]],TabDH[Stimmen/Gelost],0)&lt;=(Sitze_Ausschuss-SUM(TabDH[Sitze]))</f>
        <v>0</v>
      </c>
      <c r="EU14" s="50" t="b">
        <f>OR(TabDH[[#This Row],[Sitze]]&lt;ROUNDDOWN(Grunddaten[[#This Row],[Proporzgenaue Zahl Ausschuss]],0),TabDH[[#This Row],[Sitze]]+(TabDH[[#This Row],[Patt]]*1)&gt;ROUNDUP(Grunddaten[[#This Row],[Proporzgenaue Zahl Ausschuss]],0))</f>
        <v>0</v>
      </c>
      <c r="EV14" s="3"/>
      <c r="EW14" s="51" t="str">
        <f>Grunddaten[[#This Row],[Partei/Wählergruppe]]&amp;""</f>
        <v>ÖDP</v>
      </c>
      <c r="EX14" s="71">
        <v>1000</v>
      </c>
      <c r="EY14" s="3"/>
      <c r="EZ14" t="b">
        <f>IF(AND(Grunddaten[[#This Row],[Sitze im Hauptorgan]]&gt;0,ISBLANK(Grunddaten[[#This Row],[AG?]])),ROW())</f>
        <v>0</v>
      </c>
      <c r="FA14">
        <f t="shared" si="1"/>
        <v>0</v>
      </c>
      <c r="FB14" t="str">
        <f>Grunddaten[[#This Row],[Partei/Wählergruppe]]</f>
        <v>ÖDP</v>
      </c>
      <c r="FC14">
        <f>Grunddaten[[#This Row],[Sitze im Hauptorgan]]</f>
        <v>2</v>
      </c>
      <c r="FD14">
        <f>TabPatt[[#This Row],[Stimmen]]</f>
        <v>1000</v>
      </c>
      <c r="FE14" t="str">
        <f>IF(Grunddaten[[#This Row],[AG?]]=FE$6,MID(Grunddaten[[#This Row],[Partei/Wählergruppe]],1,3),"")</f>
        <v>ÖDP</v>
      </c>
      <c r="FF14" t="str">
        <f>IF(Grunddaten[[#This Row],[AG?]]=FF$6,MID(Grunddaten[[#This Row],[Partei/Wählergruppe]],1,3),"")</f>
        <v/>
      </c>
      <c r="FG14" t="str">
        <f>IF(Grunddaten[[#This Row],[AG?]]=FG$6,MID(Grunddaten[[#This Row],[Partei/Wählergruppe]],1,3),"")</f>
        <v/>
      </c>
      <c r="FH14" t="str">
        <f>IF(Grunddaten[[#This Row],[AG?]]=FH$6,MID(Grunddaten[[#This Row],[Partei/Wählergruppe]],1,3),"")</f>
        <v/>
      </c>
      <c r="FI14" s="154">
        <f>TabHN[[#This Row],[Sitze]]+TabHN[[#This Row],[Patt Auflösung]]</f>
        <v>0.25</v>
      </c>
      <c r="FJ14" s="154">
        <f>TabSLS[[#This Row],[Sitze]]+TabSLS[[#This Row],[Patt Auflösung]]</f>
        <v>0</v>
      </c>
      <c r="FK14" s="154">
        <f>TabDH[[#This Row],[Sitze]]+TabDH[[#This Row],[Patt Auflösung]]</f>
        <v>0</v>
      </c>
      <c r="FL14" s="154">
        <f t="shared" si="2"/>
        <v>0</v>
      </c>
      <c r="FM14" s="154">
        <f t="shared" si="3"/>
        <v>0.25</v>
      </c>
      <c r="FN14" t="str">
        <f t="shared" si="4"/>
        <v>K.SITZ</v>
      </c>
    </row>
    <row r="15" spans="1:176" x14ac:dyDescent="0.25">
      <c r="A15" s="3"/>
      <c r="B15" s="56" t="s">
        <v>169</v>
      </c>
      <c r="C15" s="71">
        <v>2</v>
      </c>
      <c r="D15" s="71" t="s">
        <v>175</v>
      </c>
      <c r="E15" s="93">
        <f>Grunddaten[[#This Row],[Sitze im Hauptorgan]]/Grunddaten[[#Totals],[Sitze im Hauptorgan]]*Sitze_Ausschuss</f>
        <v>0.39999999999999997</v>
      </c>
      <c r="F15" s="110" t="b">
        <f>OR(Grunddaten[[#This Row],[Proporzgenaue Zahl Ausschuss]]&gt;=1,Grunddaten[[#This Row],[Sitze im Hauptorgan]]&gt;Sitze_Hauptorgan/(1+Sitze_Ausschuss))</f>
        <v>0</v>
      </c>
      <c r="G15" s="159" t="str">
        <f>IF(ROUNDDOWN(Grunddaten[[#This Row],[Proporzgenaue Zahl Ausschuss]],0)&lt;&gt;ROUNDUP(Grunddaten[[#This Row],[Proporzgenaue Zahl Ausschuss]],0), ROUNDDOWN(Grunddaten[[#This Row],[Proporzgenaue Zahl Ausschuss]],0)&amp;" oder "&amp;ROUNDUP(Grunddaten[[#This Row],[Proporzgenaue Zahl Ausschuss]],0),ROUND(Grunddaten[[#This Row],[Proporzgenaue Zahl Ausschuss]],0))</f>
        <v>0 oder 1</v>
      </c>
      <c r="H15" s="52" t="str">
        <f t="shared" si="0"/>
        <v>OK</v>
      </c>
      <c r="I15" s="52" t="str">
        <f>IF(TabSLS[[#This Row],[QK verletzt]],"NOK","OK")</f>
        <v>OK</v>
      </c>
      <c r="J15" s="53" t="str">
        <f>IF(TabDH[[#This Row],[QK verletzt]],"NOK","OK")</f>
        <v>OK</v>
      </c>
      <c r="K15" s="3"/>
      <c r="L15" s="92">
        <f>TabHN[[#This Row],[S ganz]]+IF(NOT(TabHN[[#This Row],[Patt]]),TabHN[[#This Row],[Restsitz]],0)</f>
        <v>0</v>
      </c>
      <c r="M15" s="29">
        <f>IF(TabHN[[#This Row],[Patt]],IF(Pattaufloesung="Los-Chance",TabHN[[#This Row],[Los Chance]],TabHN[[#This Row],[Pattgewinn]]+0),0)</f>
        <v>0.25</v>
      </c>
      <c r="N15" s="30">
        <f>INT(Grunddaten[[#This Row],[Proporzgenaue Zahl Ausschuss]])</f>
        <v>0</v>
      </c>
      <c r="O15" s="31">
        <f>ROUND(Grunddaten[[#This Row],[Proporzgenaue Zahl Ausschuss]]-TabHN[[#This Row],[S ganz]],4)</f>
        <v>0.4</v>
      </c>
      <c r="P15" s="32">
        <f>_xlfn.RANK.EQ(TabHN[[#This Row],[S Rest]],TabHN[S Rest],0)</f>
        <v>4</v>
      </c>
      <c r="Q15" s="30">
        <f>IF(TabHN[[#This Row],[Rng Rest]]&lt;=TabHN[[#Totals],[S Rest]],1,0)</f>
        <v>1</v>
      </c>
      <c r="R15" s="30" t="b">
        <f>AND(TabHN[[#This Row],[Restsitz]]=1,(COUNTIF(TabHN[Rng Rest],TabHN[[#This Row],[Rng Rest]])+TabHN[[#This Row],[Rng Rest]]-1)&gt;TabHN[[#Totals],[S Rest]])</f>
        <v>1</v>
      </c>
      <c r="S15" s="33">
        <f>IF(TabHN[[#This Row],[Patt]],(Sitze_Ausschuss-SUM(TabHN[Sitze]))/TabHN[[#Totals],[Patt]],0)</f>
        <v>0.25</v>
      </c>
      <c r="T15" s="34">
        <f>TabHN[[#This Row],[Patt]]*IF(Pattaufloesung="Stimmen",TabPatt[[#This Row],[Stimmen]],0)*1</f>
        <v>0</v>
      </c>
      <c r="U15" s="35" t="b">
        <f>_xlfn.RANK.EQ(TabHN[[#This Row],[Stimmen/Gelost]],TabHN[Stimmen/Gelost],0)&lt;=(Sitze_Ausschuss-SUM(TabHN[Sitze]))</f>
        <v>1</v>
      </c>
      <c r="V15" s="3"/>
      <c r="W15" s="36">
        <f>COUNTIF(TabSLS[[#This Row],[SP1]:[SP37]],"SITZ")</f>
        <v>0</v>
      </c>
      <c r="X15" s="37">
        <f>IF(TabSLS[[#This Row],[Patt?]],IF(Pattaufloesung="Los-Chance",TabSLS[[#This Row],[Los Chance]],TabSLS[[#This Row],[Pattgewinn]]+0),0)</f>
        <v>0</v>
      </c>
      <c r="Y15" s="38">
        <f>Grunddaten[[#This Row],[Sitze im Hauptorgan]]/_xlfn.NUMBERVALUE(MID(INDEX(TabSLS[[#Headers],[:1]:[:37]],COLUMN()-COLUMN(TabSLS[[#Headers],[:1]])+1),2,3))</f>
        <v>2</v>
      </c>
      <c r="Z15" s="39">
        <f>Grunddaten[[#This Row],[Sitze im Hauptorgan]]/_xlfn.NUMBERVALUE(MID(INDEX(TabSLS[[#Headers],[:1]:[:37]],COLUMN()-COLUMN(TabSLS[[#Headers],[:1]])+1),2,3))</f>
        <v>0.66666666666666663</v>
      </c>
      <c r="AA15" s="39">
        <f>Grunddaten[[#This Row],[Sitze im Hauptorgan]]/_xlfn.NUMBERVALUE(MID(INDEX(TabSLS[[#Headers],[:1]:[:37]],COLUMN()-COLUMN(TabSLS[[#Headers],[:1]])+1),2,3))</f>
        <v>0.4</v>
      </c>
      <c r="AB15" s="39">
        <f>Grunddaten[[#This Row],[Sitze im Hauptorgan]]/_xlfn.NUMBERVALUE(MID(INDEX(TabSLS[[#Headers],[:1]:[:37]],COLUMN()-COLUMN(TabSLS[[#Headers],[:1]])+1),2,3))</f>
        <v>0.2857142857142857</v>
      </c>
      <c r="AC15" s="39">
        <f>Grunddaten[[#This Row],[Sitze im Hauptorgan]]/_xlfn.NUMBERVALUE(MID(INDEX(TabSLS[[#Headers],[:1]:[:37]],COLUMN()-COLUMN(TabSLS[[#Headers],[:1]])+1),2,3))</f>
        <v>0.22222222222222221</v>
      </c>
      <c r="AD15" s="39">
        <f>Grunddaten[[#This Row],[Sitze im Hauptorgan]]/_xlfn.NUMBERVALUE(MID(INDEX(TabSLS[[#Headers],[:1]:[:37]],COLUMN()-COLUMN(TabSLS[[#Headers],[:1]])+1),2,3))</f>
        <v>0.18181818181818182</v>
      </c>
      <c r="AE15" s="39">
        <f>Grunddaten[[#This Row],[Sitze im Hauptorgan]]/_xlfn.NUMBERVALUE(MID(INDEX(TabSLS[[#Headers],[:1]:[:37]],COLUMN()-COLUMN(TabSLS[[#Headers],[:1]])+1),2,3))</f>
        <v>0.15384615384615385</v>
      </c>
      <c r="AF15" s="39">
        <f>Grunddaten[[#This Row],[Sitze im Hauptorgan]]/_xlfn.NUMBERVALUE(MID(INDEX(TabSLS[[#Headers],[:1]:[:37]],COLUMN()-COLUMN(TabSLS[[#Headers],[:1]])+1),2,3))</f>
        <v>0.13333333333333333</v>
      </c>
      <c r="AG15" s="39">
        <f>Grunddaten[[#This Row],[Sitze im Hauptorgan]]/_xlfn.NUMBERVALUE(MID(INDEX(TabSLS[[#Headers],[:1]:[:37]],COLUMN()-COLUMN(TabSLS[[#Headers],[:1]])+1),2,3))</f>
        <v>0.11764705882352941</v>
      </c>
      <c r="AH15" s="39">
        <f>Grunddaten[[#This Row],[Sitze im Hauptorgan]]/_xlfn.NUMBERVALUE(MID(INDEX(TabSLS[[#Headers],[:1]:[:37]],COLUMN()-COLUMN(TabSLS[[#Headers],[:1]])+1),2,3))</f>
        <v>0.10526315789473684</v>
      </c>
      <c r="AI15" s="39">
        <f>Grunddaten[[#This Row],[Sitze im Hauptorgan]]/_xlfn.NUMBERVALUE(MID(INDEX(TabSLS[[#Headers],[:1]:[:37]],COLUMN()-COLUMN(TabSLS[[#Headers],[:1]])+1),2,3))</f>
        <v>9.5238095238095233E-2</v>
      </c>
      <c r="AJ15" s="39">
        <f>Grunddaten[[#This Row],[Sitze im Hauptorgan]]/_xlfn.NUMBERVALUE(MID(INDEX(TabSLS[[#Headers],[:1]:[:37]],COLUMN()-COLUMN(TabSLS[[#Headers],[:1]])+1),2,3))</f>
        <v>8.6956521739130432E-2</v>
      </c>
      <c r="AK15" s="39">
        <f>Grunddaten[[#This Row],[Sitze im Hauptorgan]]/_xlfn.NUMBERVALUE(MID(INDEX(TabSLS[[#Headers],[:1]:[:37]],COLUMN()-COLUMN(TabSLS[[#Headers],[:1]])+1),2,3))</f>
        <v>0.08</v>
      </c>
      <c r="AL15" s="39">
        <f>Grunddaten[[#This Row],[Sitze im Hauptorgan]]/_xlfn.NUMBERVALUE(MID(INDEX(TabSLS[[#Headers],[:1]:[:37]],COLUMN()-COLUMN(TabSLS[[#Headers],[:1]])+1),2,3))</f>
        <v>7.407407407407407E-2</v>
      </c>
      <c r="AM15" s="39">
        <f>Grunddaten[[#This Row],[Sitze im Hauptorgan]]/_xlfn.NUMBERVALUE(MID(INDEX(TabSLS[[#Headers],[:1]:[:37]],COLUMN()-COLUMN(TabSLS[[#Headers],[:1]])+1),2,3))</f>
        <v>6.8965517241379309E-2</v>
      </c>
      <c r="AN15" s="39">
        <f>Grunddaten[[#This Row],[Sitze im Hauptorgan]]/_xlfn.NUMBERVALUE(MID(INDEX(TabSLS[[#Headers],[:1]:[:37]],COLUMN()-COLUMN(TabSLS[[#Headers],[:1]])+1),2,3))</f>
        <v>6.4516129032258063E-2</v>
      </c>
      <c r="AO15" s="39">
        <f>Grunddaten[[#This Row],[Sitze im Hauptorgan]]/_xlfn.NUMBERVALUE(MID(INDEX(TabSLS[[#Headers],[:1]:[:37]],COLUMN()-COLUMN(TabSLS[[#Headers],[:1]])+1),2,3))</f>
        <v>6.0606060606060608E-2</v>
      </c>
      <c r="AP15" s="39">
        <f>Grunddaten[[#This Row],[Sitze im Hauptorgan]]/_xlfn.NUMBERVALUE(MID(INDEX(TabSLS[[#Headers],[:1]:[:37]],COLUMN()-COLUMN(TabSLS[[#Headers],[:1]])+1),2,3))</f>
        <v>5.7142857142857141E-2</v>
      </c>
      <c r="AQ15" s="40">
        <f>Grunddaten[[#This Row],[Sitze im Hauptorgan]]/_xlfn.NUMBERVALUE(MID(INDEX(TabSLS[[#Headers],[:1]:[:37]],COLUMN()-COLUMN(TabSLS[[#Headers],[:1]])+1),2,3))</f>
        <v>5.4054054054054057E-2</v>
      </c>
      <c r="AR15" s="41">
        <f>_xlfn.RANK.EQ(TabSLS[[#This Row],[:1]],TabSLS[[:1]:[:37]],0)</f>
        <v>16</v>
      </c>
      <c r="AS15" s="42">
        <f>_xlfn.RANK.EQ(TabSLS[[#This Row],[:3]],TabSLS[[:1]:[:37]],0)</f>
        <v>51</v>
      </c>
      <c r="AT15" s="42">
        <f>_xlfn.RANK.EQ(TabSLS[[#This Row],[:5]],TabSLS[[:1]:[:37]],0)</f>
        <v>79</v>
      </c>
      <c r="AU15" s="42">
        <f>_xlfn.RANK.EQ(TabSLS[[#This Row],[:7]],TabSLS[[:1]:[:37]],0)</f>
        <v>96</v>
      </c>
      <c r="AV15" s="42">
        <f>_xlfn.RANK.EQ(TabSLS[[#This Row],[:9]],TabSLS[[:1]:[:37]],0)</f>
        <v>110</v>
      </c>
      <c r="AW15" s="42">
        <f>_xlfn.RANK.EQ(TabSLS[[#This Row],[:11]],TabSLS[[:1]:[:37]],0)</f>
        <v>119</v>
      </c>
      <c r="AX15" s="42">
        <f>_xlfn.RANK.EQ(TabSLS[[#This Row],[:13]],TabSLS[[:1]:[:37]],0)</f>
        <v>127</v>
      </c>
      <c r="AY15" s="42">
        <f>_xlfn.RANK.EQ(TabSLS[[#This Row],[:15]],TabSLS[[:1]:[:37]],0)</f>
        <v>135</v>
      </c>
      <c r="AZ15" s="42">
        <f>_xlfn.RANK.EQ(TabSLS[[#This Row],[:17]],TabSLS[[:1]:[:37]],0)</f>
        <v>143</v>
      </c>
      <c r="BA15" s="42">
        <f>_xlfn.RANK.EQ(TabSLS[[#This Row],[:19]],TabSLS[[:1]:[:37]],0)</f>
        <v>151</v>
      </c>
      <c r="BB15" s="42">
        <f>_xlfn.RANK.EQ(TabSLS[[#This Row],[:21]],TabSLS[[:1]:[:37]],0)</f>
        <v>157</v>
      </c>
      <c r="BC15" s="42">
        <f>_xlfn.RANK.EQ(TabSLS[[#This Row],[:23]],TabSLS[[:1]:[:37]],0)</f>
        <v>163</v>
      </c>
      <c r="BD15" s="42">
        <f>_xlfn.RANK.EQ(TabSLS[[#This Row],[:25]],TabSLS[[:1]:[:37]],0)</f>
        <v>169</v>
      </c>
      <c r="BE15" s="42">
        <f>_xlfn.RANK.EQ(TabSLS[[#This Row],[:27]],TabSLS[[:1]:[:37]],0)</f>
        <v>174</v>
      </c>
      <c r="BF15" s="42">
        <f>_xlfn.RANK.EQ(TabSLS[[#This Row],[:29]],TabSLS[[:1]:[:37]],0)</f>
        <v>178</v>
      </c>
      <c r="BG15" s="42">
        <f>_xlfn.RANK.EQ(TabSLS[[#This Row],[:31]],TabSLS[[:1]:[:37]],0)</f>
        <v>183</v>
      </c>
      <c r="BH15" s="42">
        <f>_xlfn.RANK.EQ(TabSLS[[#This Row],[:33]],TabSLS[[:1]:[:37]],0)</f>
        <v>187</v>
      </c>
      <c r="BI15" s="42">
        <f>_xlfn.RANK.EQ(TabSLS[[#This Row],[:35]],TabSLS[[:1]:[:37]],0)</f>
        <v>192</v>
      </c>
      <c r="BJ15" s="43">
        <f>_xlfn.RANK.EQ(TabSLS[[#This Row],[:37]],TabSLS[[:1]:[:37]],0)</f>
        <v>196</v>
      </c>
      <c r="BK15" s="44" t="str">
        <f>IF(TabSLS[[#This Row],[R1]]&lt;=Sitze_Ausschuss,IF(TabSLS[[#This Row],[R1]]+COUNTIF(TabSLS[[R1]:[R37]],TabSLS[[#This Row],[R1]])-1&lt;=Sitze_Ausschuss,"SITZ","PATT"),"")</f>
        <v/>
      </c>
      <c r="BL15" s="45" t="str">
        <f>IF(TabSLS[[#This Row],[R3]]&lt;=Sitze_Ausschuss,IF(TabSLS[[#This Row],[R3]]+COUNTIF(TabSLS[[R1]:[R37]],TabSLS[[#This Row],[R3]])-1&lt;=Sitze_Ausschuss,"SITZ","PATT"),"")</f>
        <v/>
      </c>
      <c r="BM15" s="45" t="str">
        <f>IF(TabSLS[[#This Row],[R5]]&lt;=Sitze_Ausschuss,IF(TabSLS[[#This Row],[R5]]+COUNTIF(TabSLS[[R1]:[R37]],TabSLS[[#This Row],[R5]])-1&lt;=Sitze_Ausschuss,"SITZ","PATT"),"")</f>
        <v/>
      </c>
      <c r="BN15" s="45" t="str">
        <f>IF(TabSLS[[#This Row],[R7]]&lt;=Sitze_Ausschuss,IF(TabSLS[[#This Row],[R7]]+COUNTIF(TabSLS[[R1]:[R37]],TabSLS[[#This Row],[R7]])-1&lt;=Sitze_Ausschuss,"SITZ","PATT"),"")</f>
        <v/>
      </c>
      <c r="BO15" s="45" t="str">
        <f>IF(TabSLS[[#This Row],[R9]]&lt;=Sitze_Ausschuss,IF(TabSLS[[#This Row],[R9]]+COUNTIF(TabSLS[[R1]:[R37]],TabSLS[[#This Row],[R9]])-1&lt;=Sitze_Ausschuss,"SITZ","PATT"),"")</f>
        <v/>
      </c>
      <c r="BP15" s="45" t="str">
        <f>IF(TabSLS[[#This Row],[R11]]&lt;=Sitze_Ausschuss,IF(TabSLS[[#This Row],[R11]]+COUNTIF(TabSLS[[R1]:[R37]],TabSLS[[#This Row],[R11]])-1&lt;=Sitze_Ausschuss,"SITZ","PATT"),"")</f>
        <v/>
      </c>
      <c r="BQ15" s="45" t="str">
        <f>IF(TabSLS[[#This Row],[R13]]&lt;=Sitze_Ausschuss,IF(TabSLS[[#This Row],[R13]]+COUNTIF(TabSLS[[R1]:[R37]],TabSLS[[#This Row],[R13]])-1&lt;=Sitze_Ausschuss,"SITZ","PATT"),"")</f>
        <v/>
      </c>
      <c r="BR15" s="45" t="str">
        <f>IF(TabSLS[[#This Row],[R15]]&lt;=Sitze_Ausschuss,IF(TabSLS[[#This Row],[R15]]+COUNTIF(TabSLS[[R1]:[R37]],TabSLS[[#This Row],[R15]])-1&lt;=Sitze_Ausschuss,"SITZ","PATT"),"")</f>
        <v/>
      </c>
      <c r="BS15" s="45" t="str">
        <f>IF(TabSLS[[#This Row],[R17]]&lt;=Sitze_Ausschuss,IF(TabSLS[[#This Row],[R17]]+COUNTIF(TabSLS[[R1]:[R37]],TabSLS[[#This Row],[R17]])-1&lt;=Sitze_Ausschuss,"SITZ","PATT"),"")</f>
        <v/>
      </c>
      <c r="BT15" s="45" t="str">
        <f>IF(TabSLS[[#This Row],[R19]]&lt;=Sitze_Ausschuss,IF(TabSLS[[#This Row],[R19]]+COUNTIF(TabSLS[[R1]:[R37]],TabSLS[[#This Row],[R19]])-1&lt;=Sitze_Ausschuss,"SITZ","PATT"),"")</f>
        <v/>
      </c>
      <c r="BU15" s="45" t="str">
        <f>IF(TabSLS[[#This Row],[R21]]&lt;=Sitze_Ausschuss,IF(TabSLS[[#This Row],[R21]]+COUNTIF(TabSLS[[R1]:[R37]],TabSLS[[#This Row],[R21]])-1&lt;=Sitze_Ausschuss,"SITZ","PATT"),"")</f>
        <v/>
      </c>
      <c r="BV15" s="45" t="str">
        <f>IF(TabSLS[[#This Row],[R23]]&lt;=Sitze_Ausschuss,IF(TabSLS[[#This Row],[R23]]+COUNTIF(TabSLS[[R1]:[R37]],TabSLS[[#This Row],[R23]])-1&lt;=Sitze_Ausschuss,"SITZ","PATT"),"")</f>
        <v/>
      </c>
      <c r="BW15" s="45" t="str">
        <f>IF(TabSLS[[#This Row],[R25]]&lt;=Sitze_Ausschuss,IF(TabSLS[[#This Row],[R25]]+COUNTIF(TabSLS[[R1]:[R37]],TabSLS[[#This Row],[R25]])-1&lt;=Sitze_Ausschuss,"SITZ","PATT"),"")</f>
        <v/>
      </c>
      <c r="BX15" s="45" t="str">
        <f>IF(TabSLS[[#This Row],[R27]]&lt;=Sitze_Ausschuss,IF(TabSLS[[#This Row],[R27]]+COUNTIF(TabSLS[[R1]:[R37]],TabSLS[[#This Row],[R27]])-1&lt;=Sitze_Ausschuss,"SITZ","PATT"),"")</f>
        <v/>
      </c>
      <c r="BY15" s="45" t="str">
        <f>IF(TabSLS[[#This Row],[R29]]&lt;=Sitze_Ausschuss,IF(TabSLS[[#This Row],[R29]]+COUNTIF(TabSLS[[R1]:[R37]],TabSLS[[#This Row],[R29]])-1&lt;=Sitze_Ausschuss,"SITZ","PATT"),"")</f>
        <v/>
      </c>
      <c r="BZ15" s="45" t="str">
        <f>IF(TabSLS[[#This Row],[R31]]&lt;=Sitze_Ausschuss,IF(TabSLS[[#This Row],[R31]]+COUNTIF(TabSLS[[R1]:[R37]],TabSLS[[#This Row],[R31]])-1&lt;=Sitze_Ausschuss,"SITZ","PATT"),"")</f>
        <v/>
      </c>
      <c r="CA15" s="45" t="str">
        <f>IF(TabSLS[[#This Row],[R33]]&lt;=Sitze_Ausschuss,IF(TabSLS[[#This Row],[R33]]+COUNTIF(TabSLS[[R1]:[R37]],TabSLS[[#This Row],[R33]])-1&lt;=Sitze_Ausschuss,"SITZ","PATT"),"")</f>
        <v/>
      </c>
      <c r="CB15" s="45" t="str">
        <f>IF(TabSLS[[#This Row],[R35]]&lt;=Sitze_Ausschuss,IF(TabSLS[[#This Row],[R35]]+COUNTIF(TabSLS[[R1]:[R37]],TabSLS[[#This Row],[R35]])-1&lt;=Sitze_Ausschuss,"SITZ","PATT"),"")</f>
        <v/>
      </c>
      <c r="CC15" s="46" t="str">
        <f>IF(TabSLS[[#This Row],[R37]]&lt;=Sitze_Ausschuss,IF(TabSLS[[#This Row],[R37]]+COUNTIF(TabSLS[[R1]:[R37]],TabSLS[[#This Row],[R37]])-1&lt;=Sitze_Ausschuss,"SITZ","PATT"),"")</f>
        <v/>
      </c>
      <c r="CD15" s="47" t="b">
        <f>COUNTIF(TabSLS[[#This Row],[SP1]:[SP37]],"PATT")&gt;0</f>
        <v>0</v>
      </c>
      <c r="CE15" s="33">
        <f>IF(TabSLS[[#This Row],[Patt?]],(Sitze_Ausschuss-SUM(TabSLS[Sitze]))/TabSLS[[#Totals],[Patt?]],0)</f>
        <v>0</v>
      </c>
      <c r="CF15" s="48">
        <f>TabSLS[[#This Row],[Patt?]]*IF(Pattaufloesung="Stimmen",TabPatt[[#This Row],[Stimmen]],0)*1</f>
        <v>0</v>
      </c>
      <c r="CG15" s="49" t="b">
        <f>_xlfn.RANK.EQ(TabSLS[[#This Row],[Stimmen Gelost]],TabSLS[Stimmen Gelost],0)&lt;=(Sitze_Ausschuss-SUM(TabSLS[Sitze]))</f>
        <v>0</v>
      </c>
      <c r="CH15" s="50" t="b">
        <f>OR(TabSLS[[#This Row],[Sitze]]&lt;ROUNDDOWN(Grunddaten[[#This Row],[Proporzgenaue Zahl Ausschuss]],0),TabSLS[[#This Row],[Sitze]]+(TabSLS[[#This Row],[Patt?]]*1)&gt;ROUNDUP(Grunddaten[[#This Row],[Proporzgenaue Zahl Ausschuss]],0))</f>
        <v>0</v>
      </c>
      <c r="CI15" s="3"/>
      <c r="CJ15" s="36">
        <f>COUNTIF(TabDH[[#This Row],[SP1]:[SP19]],"SITZ")</f>
        <v>0</v>
      </c>
      <c r="CK15" s="37">
        <f>IF(TabDH[[#This Row],[Patt]],IF(Pattaufloesung="Los-Chance",TabDH[[#This Row],[Los Chance]],TabDH[[#This Row],[Pattgewinn]]+0),0)</f>
        <v>0</v>
      </c>
      <c r="CL15" s="38">
        <f>Grunddaten[[#This Row],[Sitze im Hauptorgan]]/_xlfn.NUMBERVALUE(MID(INDEX(TabDH[[#Headers],[:1]:[:19]],COLUMN()-COLUMN(TabDH[[#Headers],[:1]])+1),2,3))</f>
        <v>2</v>
      </c>
      <c r="CM15" s="39">
        <f>Grunddaten[[#This Row],[Sitze im Hauptorgan]]/_xlfn.NUMBERVALUE(MID(INDEX(TabDH[[#Headers],[:1]:[:19]],COLUMN()-COLUMN(TabDH[[#Headers],[:1]])+1),2,3))</f>
        <v>1</v>
      </c>
      <c r="CN15" s="39">
        <f>Grunddaten[[#This Row],[Sitze im Hauptorgan]]/_xlfn.NUMBERVALUE(MID(INDEX(TabDH[[#Headers],[:1]:[:19]],COLUMN()-COLUMN(TabDH[[#Headers],[:1]])+1),2,3))</f>
        <v>0.66666666666666663</v>
      </c>
      <c r="CO15" s="39">
        <f>Grunddaten[[#This Row],[Sitze im Hauptorgan]]/_xlfn.NUMBERVALUE(MID(INDEX(TabDH[[#Headers],[:1]:[:19]],COLUMN()-COLUMN(TabDH[[#Headers],[:1]])+1),2,3))</f>
        <v>0.5</v>
      </c>
      <c r="CP15" s="39">
        <f>Grunddaten[[#This Row],[Sitze im Hauptorgan]]/_xlfn.NUMBERVALUE(MID(INDEX(TabDH[[#Headers],[:1]:[:19]],COLUMN()-COLUMN(TabDH[[#Headers],[:1]])+1),2,3))</f>
        <v>0.4</v>
      </c>
      <c r="CQ15" s="39">
        <f>Grunddaten[[#This Row],[Sitze im Hauptorgan]]/_xlfn.NUMBERVALUE(MID(INDEX(TabDH[[#Headers],[:1]:[:19]],COLUMN()-COLUMN(TabDH[[#Headers],[:1]])+1),2,3))</f>
        <v>0.33333333333333331</v>
      </c>
      <c r="CR15" s="39">
        <f>Grunddaten[[#This Row],[Sitze im Hauptorgan]]/_xlfn.NUMBERVALUE(MID(INDEX(TabDH[[#Headers],[:1]:[:19]],COLUMN()-COLUMN(TabDH[[#Headers],[:1]])+1),2,3))</f>
        <v>0.2857142857142857</v>
      </c>
      <c r="CS15" s="39">
        <f>Grunddaten[[#This Row],[Sitze im Hauptorgan]]/_xlfn.NUMBERVALUE(MID(INDEX(TabDH[[#Headers],[:1]:[:19]],COLUMN()-COLUMN(TabDH[[#Headers],[:1]])+1),2,3))</f>
        <v>0.25</v>
      </c>
      <c r="CT15" s="39">
        <f>Grunddaten[[#This Row],[Sitze im Hauptorgan]]/_xlfn.NUMBERVALUE(MID(INDEX(TabDH[[#Headers],[:1]:[:19]],COLUMN()-COLUMN(TabDH[[#Headers],[:1]])+1),2,3))</f>
        <v>0.22222222222222221</v>
      </c>
      <c r="CU15" s="39">
        <f>Grunddaten[[#This Row],[Sitze im Hauptorgan]]/_xlfn.NUMBERVALUE(MID(INDEX(TabDH[[#Headers],[:1]:[:19]],COLUMN()-COLUMN(TabDH[[#Headers],[:1]])+1),2,3))</f>
        <v>0.2</v>
      </c>
      <c r="CV15" s="39">
        <f>Grunddaten[[#This Row],[Sitze im Hauptorgan]]/_xlfn.NUMBERVALUE(MID(INDEX(TabDH[[#Headers],[:1]:[:19]],COLUMN()-COLUMN(TabDH[[#Headers],[:1]])+1),2,3))</f>
        <v>0.18181818181818182</v>
      </c>
      <c r="CW15" s="39">
        <f>Grunddaten[[#This Row],[Sitze im Hauptorgan]]/_xlfn.NUMBERVALUE(MID(INDEX(TabDH[[#Headers],[:1]:[:19]],COLUMN()-COLUMN(TabDH[[#Headers],[:1]])+1),2,3))</f>
        <v>0.16666666666666666</v>
      </c>
      <c r="CX15" s="39">
        <f>Grunddaten[[#This Row],[Sitze im Hauptorgan]]/_xlfn.NUMBERVALUE(MID(INDEX(TabDH[[#Headers],[:1]:[:19]],COLUMN()-COLUMN(TabDH[[#Headers],[:1]])+1),2,3))</f>
        <v>0.15384615384615385</v>
      </c>
      <c r="CY15" s="39">
        <f>Grunddaten[[#This Row],[Sitze im Hauptorgan]]/_xlfn.NUMBERVALUE(MID(INDEX(TabDH[[#Headers],[:1]:[:19]],COLUMN()-COLUMN(TabDH[[#Headers],[:1]])+1),2,3))</f>
        <v>0.14285714285714285</v>
      </c>
      <c r="CZ15" s="39">
        <f>Grunddaten[[#This Row],[Sitze im Hauptorgan]]/_xlfn.NUMBERVALUE(MID(INDEX(TabDH[[#Headers],[:1]:[:19]],COLUMN()-COLUMN(TabDH[[#Headers],[:1]])+1),2,3))</f>
        <v>0.13333333333333333</v>
      </c>
      <c r="DA15" s="39">
        <f>Grunddaten[[#This Row],[Sitze im Hauptorgan]]/_xlfn.NUMBERVALUE(MID(INDEX(TabDH[[#Headers],[:1]:[:19]],COLUMN()-COLUMN(TabDH[[#Headers],[:1]])+1),2,3))</f>
        <v>0.125</v>
      </c>
      <c r="DB15" s="39">
        <f>Grunddaten[[#This Row],[Sitze im Hauptorgan]]/_xlfn.NUMBERVALUE(MID(INDEX(TabDH[[#Headers],[:1]:[:19]],COLUMN()-COLUMN(TabDH[[#Headers],[:1]])+1),2,3))</f>
        <v>0.11764705882352941</v>
      </c>
      <c r="DC15" s="39">
        <f>Grunddaten[[#This Row],[Sitze im Hauptorgan]]/_xlfn.NUMBERVALUE(MID(INDEX(TabDH[[#Headers],[:1]:[:19]],COLUMN()-COLUMN(TabDH[[#Headers],[:1]])+1),2,3))</f>
        <v>0.1111111111111111</v>
      </c>
      <c r="DD15" s="40">
        <f>Grunddaten[[#This Row],[Sitze im Hauptorgan]]/_xlfn.NUMBERVALUE(MID(INDEX(TabDH[[#Headers],[:1]:[:19]],COLUMN()-COLUMN(TabDH[[#Headers],[:1]])+1),2,3))</f>
        <v>0.10526315789473684</v>
      </c>
      <c r="DE15" s="41">
        <f>_xlfn.RANK.EQ(TabDH[[#This Row],[:1]],TabDH[[:1]:[:19]],0)</f>
        <v>26</v>
      </c>
      <c r="DF15" s="42">
        <f>_xlfn.RANK.EQ(TabDH[[#This Row],[:2]],TabDH[[:1]:[:19]],0)</f>
        <v>60</v>
      </c>
      <c r="DG15" s="42">
        <f>_xlfn.RANK.EQ(TabDH[[#This Row],[:3]],TabDH[[:1]:[:19]],0)</f>
        <v>82</v>
      </c>
      <c r="DH15" s="42">
        <f>_xlfn.RANK.EQ(TabDH[[#This Row],[:4]],TabDH[[:1]:[:19]],0)</f>
        <v>98</v>
      </c>
      <c r="DI15" s="42">
        <f>_xlfn.RANK.EQ(TabDH[[#This Row],[:5]],TabDH[[:1]:[:19]],0)</f>
        <v>111</v>
      </c>
      <c r="DJ15" s="42">
        <f>_xlfn.RANK.EQ(TabDH[[#This Row],[:6]],TabDH[[:1]:[:19]],0)</f>
        <v>118</v>
      </c>
      <c r="DK15" s="42">
        <f>_xlfn.RANK.EQ(TabDH[[#This Row],[:7]],TabDH[[:1]:[:19]],0)</f>
        <v>127</v>
      </c>
      <c r="DL15" s="42">
        <f>_xlfn.RANK.EQ(TabDH[[#This Row],[:8]],TabDH[[:1]:[:19]],0)</f>
        <v>134</v>
      </c>
      <c r="DM15" s="42">
        <f>_xlfn.RANK.EQ(TabDH[[#This Row],[:9]],TabDH[[:1]:[:19]],0)</f>
        <v>143</v>
      </c>
      <c r="DN15" s="42">
        <f>_xlfn.RANK.EQ(TabDH[[#This Row],[:10]],TabDH[[:1]:[:19]],0)</f>
        <v>150</v>
      </c>
      <c r="DO15" s="42">
        <f>_xlfn.RANK.EQ(TabDH[[#This Row],[:11]],TabDH[[:1]:[:19]],0)</f>
        <v>157</v>
      </c>
      <c r="DP15" s="42">
        <f>_xlfn.RANK.EQ(TabDH[[#This Row],[:12]],TabDH[[:1]:[:19]],0)</f>
        <v>162</v>
      </c>
      <c r="DQ15" s="42">
        <f>_xlfn.RANK.EQ(TabDH[[#This Row],[:13]],TabDH[[:1]:[:19]],0)</f>
        <v>169</v>
      </c>
      <c r="DR15" s="42">
        <f>_xlfn.RANK.EQ(TabDH[[#This Row],[:14]],TabDH[[:1]:[:19]],0)</f>
        <v>173</v>
      </c>
      <c r="DS15" s="42">
        <f>_xlfn.RANK.EQ(TabDH[[#This Row],[:15]],TabDH[[:1]:[:19]],0)</f>
        <v>178</v>
      </c>
      <c r="DT15" s="42">
        <f>_xlfn.RANK.EQ(TabDH[[#This Row],[:16]],TabDH[[:1]:[:19]],0)</f>
        <v>182</v>
      </c>
      <c r="DU15" s="42">
        <f>_xlfn.RANK.EQ(TabDH[[#This Row],[:17]],TabDH[[:1]:[:19]],0)</f>
        <v>187</v>
      </c>
      <c r="DV15" s="42">
        <f>_xlfn.RANK.EQ(TabDH[[#This Row],[:18]],TabDH[[:1]:[:19]],0)</f>
        <v>191</v>
      </c>
      <c r="DW15" s="43">
        <f>_xlfn.RANK.EQ(TabDH[[#This Row],[:19]],TabDH[[:1]:[:19]],0)</f>
        <v>196</v>
      </c>
      <c r="DX15" s="44" t="str">
        <f>IF(TabDH[[#This Row],[R1]]&lt;=Sitze_Ausschuss,IF(TabDH[[#This Row],[R1]]+COUNTIF(TabDH[[R1]:[R19]],TabDH[[#This Row],[R1]])-1&lt;=Sitze_Ausschuss,"SITZ","PATT"),"")</f>
        <v/>
      </c>
      <c r="DY15" s="45" t="str">
        <f>IF(TabDH[[#This Row],[R2]]&lt;=Sitze_Ausschuss,IF(TabDH[[#This Row],[R2]]+COUNTIF(TabDH[[R1]:[R19]],TabDH[[#This Row],[R2]])-1&lt;=Sitze_Ausschuss,"SITZ","PATT"),"")</f>
        <v/>
      </c>
      <c r="DZ15" s="45" t="str">
        <f>IF(TabDH[[#This Row],[R3]]&lt;=Sitze_Ausschuss,IF(TabDH[[#This Row],[R3]]+COUNTIF(TabDH[[R1]:[R19]],TabDH[[#This Row],[R3]])-1&lt;=Sitze_Ausschuss,"SITZ","PATT"),"")</f>
        <v/>
      </c>
      <c r="EA15" s="45" t="str">
        <f>IF(TabDH[[#This Row],[R4]]&lt;=Sitze_Ausschuss,IF(TabDH[[#This Row],[R4]]+COUNTIF(TabDH[[R1]:[R19]],TabDH[[#This Row],[R4]])-1&lt;=Sitze_Ausschuss,"SITZ","PATT"),"")</f>
        <v/>
      </c>
      <c r="EB15" s="45" t="str">
        <f>IF(TabDH[[#This Row],[R5]]&lt;=Sitze_Ausschuss,IF(TabDH[[#This Row],[R5]]+COUNTIF(TabDH[[R1]:[R19]],TabDH[[#This Row],[R5]])-1&lt;=Sitze_Ausschuss,"SITZ","PATT"),"")</f>
        <v/>
      </c>
      <c r="EC15" s="45" t="str">
        <f>IF(TabDH[[#This Row],[R6]]&lt;=Sitze_Ausschuss,IF(TabDH[[#This Row],[R6]]+COUNTIF(TabDH[[R1]:[R19]],TabDH[[#This Row],[R6]])-1&lt;=Sitze_Ausschuss,"SITZ","PATT"),"")</f>
        <v/>
      </c>
      <c r="ED15" s="45" t="str">
        <f>IF(TabDH[[#This Row],[R7]]&lt;=Sitze_Ausschuss,IF(TabDH[[#This Row],[R7]]+COUNTIF(TabDH[[R1]:[R19]],TabDH[[#This Row],[R7]])-1&lt;=Sitze_Ausschuss,"SITZ","PATT"),"")</f>
        <v/>
      </c>
      <c r="EE15" s="45" t="str">
        <f>IF(TabDH[[#This Row],[R8]]&lt;=Sitze_Ausschuss,IF(TabDH[[#This Row],[R8]]+COUNTIF(TabDH[[R1]:[R19]],TabDH[[#This Row],[R8]])-1&lt;=Sitze_Ausschuss,"SITZ","PATT"),"")</f>
        <v/>
      </c>
      <c r="EF15" s="45" t="str">
        <f>IF(TabDH[[#This Row],[R9]]&lt;=Sitze_Ausschuss,IF(TabDH[[#This Row],[R9]]+COUNTIF(TabDH[[R1]:[R19]],TabDH[[#This Row],[R9]])-1&lt;=Sitze_Ausschuss,"SITZ","PATT"),"")</f>
        <v/>
      </c>
      <c r="EG15" s="45" t="str">
        <f>IF(TabDH[[#This Row],[R10]]&lt;=Sitze_Ausschuss,IF(TabDH[[#This Row],[R10]]+COUNTIF(TabDH[[R1]:[R19]],TabDH[[#This Row],[R10]])-1&lt;=Sitze_Ausschuss,"SITZ","PATT"),"")</f>
        <v/>
      </c>
      <c r="EH15" s="45" t="str">
        <f>IF(TabDH[[#This Row],[R11]]&lt;=Sitze_Ausschuss,IF(TabDH[[#This Row],[R11]]+COUNTIF(TabDH[[R1]:[R19]],TabDH[[#This Row],[R11]])-1&lt;=Sitze_Ausschuss,"SITZ","PATT"),"")</f>
        <v/>
      </c>
      <c r="EI15" s="45" t="str">
        <f>IF(TabDH[[#This Row],[R12]]&lt;=Sitze_Ausschuss,IF(TabDH[[#This Row],[R12]]+COUNTIF(TabDH[[R1]:[R19]],TabDH[[#This Row],[R12]])-1&lt;=Sitze_Ausschuss,"SITZ","PATT"),"")</f>
        <v/>
      </c>
      <c r="EJ15" s="45" t="str">
        <f>IF(TabDH[[#This Row],[R13]]&lt;=Sitze_Ausschuss,IF(TabDH[[#This Row],[R13]]+COUNTIF(TabDH[[R1]:[R19]],TabDH[[#This Row],[R13]])-1&lt;=Sitze_Ausschuss,"SITZ","PATT"),"")</f>
        <v/>
      </c>
      <c r="EK15" s="45" t="str">
        <f>IF(TabDH[[#This Row],[R14]]&lt;=Sitze_Ausschuss,IF(TabDH[[#This Row],[R14]]+COUNTIF(TabDH[[R1]:[R19]],TabDH[[#This Row],[R14]])-1&lt;=Sitze_Ausschuss,"SITZ","PATT"),"")</f>
        <v/>
      </c>
      <c r="EL15" s="45" t="str">
        <f>IF(TabDH[[#This Row],[R15]]&lt;=Sitze_Ausschuss,IF(TabDH[[#This Row],[R15]]+COUNTIF(TabDH[[R1]:[R19]],TabDH[[#This Row],[R15]])-1&lt;=Sitze_Ausschuss,"SITZ","PATT"),"")</f>
        <v/>
      </c>
      <c r="EM15" s="45" t="str">
        <f>IF(TabDH[[#This Row],[R16]]&lt;=Sitze_Ausschuss,IF(TabDH[[#This Row],[R16]]+COUNTIF(TabDH[[R1]:[R19]],TabDH[[#This Row],[R16]])-1&lt;=Sitze_Ausschuss,"SITZ","PATT"),"")</f>
        <v/>
      </c>
      <c r="EN15" s="45" t="str">
        <f>IF(TabDH[[#This Row],[R17]]&lt;=Sitze_Ausschuss,IF(TabDH[[#This Row],[R17]]+COUNTIF(TabDH[[R1]:[R19]],TabDH[[#This Row],[R17]])-1&lt;=Sitze_Ausschuss,"SITZ","PATT"),"")</f>
        <v/>
      </c>
      <c r="EO15" s="45" t="str">
        <f>IF(TabDH[[#This Row],[R18]]&lt;=Sitze_Ausschuss,IF(TabDH[[#This Row],[R18]]+COUNTIF(TabDH[[R1]:[R19]],TabDH[[#This Row],[R18]])-1&lt;=Sitze_Ausschuss,"SITZ","PATT"),"")</f>
        <v/>
      </c>
      <c r="EP15" s="45" t="str">
        <f>IF(TabDH[[#This Row],[R19]]&lt;=Sitze_Ausschuss,IF(TabDH[[#This Row],[R19]]+COUNTIF(TabDH[[R1]:[R19]],TabDH[[#This Row],[R19]])-1&lt;=Sitze_Ausschuss,"SITZ","PATT"),"")</f>
        <v/>
      </c>
      <c r="EQ15" s="47" t="b">
        <f>COUNTIF(TabDH[[#This Row],[SP1]:[SP19]],"PATT")&gt;0</f>
        <v>0</v>
      </c>
      <c r="ER15" s="33">
        <f>IF(TabDH[[#This Row],[Patt]],(Sitze_Ausschuss-SUM(TabDH[Sitze]))/TabDH[[#Totals],[Patt]],0)</f>
        <v>0</v>
      </c>
      <c r="ES15" s="48">
        <f>TabDH[[#This Row],[Patt]]*IF(Pattaufloesung="Stimmen",TabPatt[[#This Row],[Stimmen]],0)*1</f>
        <v>0</v>
      </c>
      <c r="ET15" s="49" t="b">
        <f>_xlfn.RANK.EQ(TabDH[[#This Row],[Stimmen/Gelost]],TabDH[Stimmen/Gelost],0)&lt;=(Sitze_Ausschuss-SUM(TabDH[Sitze]))</f>
        <v>0</v>
      </c>
      <c r="EU15" s="50" t="b">
        <f>OR(TabDH[[#This Row],[Sitze]]&lt;ROUNDDOWN(Grunddaten[[#This Row],[Proporzgenaue Zahl Ausschuss]],0),TabDH[[#This Row],[Sitze]]+(TabDH[[#This Row],[Patt]]*1)&gt;ROUNDUP(Grunddaten[[#This Row],[Proporzgenaue Zahl Ausschuss]],0))</f>
        <v>0</v>
      </c>
      <c r="EV15" s="3"/>
      <c r="EW15" s="51" t="str">
        <f>Grunddaten[[#This Row],[Partei/Wählergruppe]]&amp;""</f>
        <v>Bayernpartei</v>
      </c>
      <c r="EX15" s="71">
        <v>211</v>
      </c>
      <c r="EY15" s="3"/>
      <c r="EZ15" t="b">
        <f>IF(AND(Grunddaten[[#This Row],[Sitze im Hauptorgan]]&gt;0,ISBLANK(Grunddaten[[#This Row],[AG?]])),ROW())</f>
        <v>0</v>
      </c>
      <c r="FA15">
        <f t="shared" si="1"/>
        <v>0</v>
      </c>
      <c r="FB15" t="str">
        <f>Grunddaten[[#This Row],[Partei/Wählergruppe]]</f>
        <v>Bayernpartei</v>
      </c>
      <c r="FC15">
        <f>Grunddaten[[#This Row],[Sitze im Hauptorgan]]</f>
        <v>2</v>
      </c>
      <c r="FD15">
        <f>TabPatt[[#This Row],[Stimmen]]</f>
        <v>211</v>
      </c>
      <c r="FE15" t="str">
        <f>IF(Grunddaten[[#This Row],[AG?]]=FE$6,MID(Grunddaten[[#This Row],[Partei/Wählergruppe]],1,3),"")</f>
        <v/>
      </c>
      <c r="FF15" t="str">
        <f>IF(Grunddaten[[#This Row],[AG?]]=FF$6,MID(Grunddaten[[#This Row],[Partei/Wählergruppe]],1,3),"")</f>
        <v>Bay</v>
      </c>
      <c r="FG15" t="str">
        <f>IF(Grunddaten[[#This Row],[AG?]]=FG$6,MID(Grunddaten[[#This Row],[Partei/Wählergruppe]],1,3),"")</f>
        <v/>
      </c>
      <c r="FH15" t="str">
        <f>IF(Grunddaten[[#This Row],[AG?]]=FH$6,MID(Grunddaten[[#This Row],[Partei/Wählergruppe]],1,3),"")</f>
        <v/>
      </c>
      <c r="FI15" s="154">
        <f>TabHN[[#This Row],[Sitze]]+TabHN[[#This Row],[Patt Auflösung]]</f>
        <v>0.25</v>
      </c>
      <c r="FJ15" s="154">
        <f>TabSLS[[#This Row],[Sitze]]+TabSLS[[#This Row],[Patt Auflösung]]</f>
        <v>0</v>
      </c>
      <c r="FK15" s="154">
        <f>TabDH[[#This Row],[Sitze]]+TabDH[[#This Row],[Patt Auflösung]]</f>
        <v>0</v>
      </c>
      <c r="FL15" s="154">
        <f t="shared" si="2"/>
        <v>0</v>
      </c>
      <c r="FM15" s="154">
        <f t="shared" si="3"/>
        <v>0.25</v>
      </c>
      <c r="FN15" t="str">
        <f t="shared" si="4"/>
        <v>K.SITZ</v>
      </c>
    </row>
    <row r="16" spans="1:176" x14ac:dyDescent="0.25">
      <c r="A16" s="3"/>
      <c r="B16" s="56" t="s">
        <v>235</v>
      </c>
      <c r="C16" s="71">
        <v>2</v>
      </c>
      <c r="D16" s="71" t="s">
        <v>176</v>
      </c>
      <c r="E16" s="93">
        <f>Grunddaten[[#This Row],[Sitze im Hauptorgan]]/Grunddaten[[#Totals],[Sitze im Hauptorgan]]*Sitze_Ausschuss</f>
        <v>0.39999999999999997</v>
      </c>
      <c r="F16" s="110" t="b">
        <f>OR(Grunddaten[[#This Row],[Proporzgenaue Zahl Ausschuss]]&gt;=1,Grunddaten[[#This Row],[Sitze im Hauptorgan]]&gt;Sitze_Hauptorgan/(1+Sitze_Ausschuss))</f>
        <v>0</v>
      </c>
      <c r="G16" s="159" t="str">
        <f>IF(ROUNDDOWN(Grunddaten[[#This Row],[Proporzgenaue Zahl Ausschuss]],0)&lt;&gt;ROUNDUP(Grunddaten[[#This Row],[Proporzgenaue Zahl Ausschuss]],0), ROUNDDOWN(Grunddaten[[#This Row],[Proporzgenaue Zahl Ausschuss]],0)&amp;" oder "&amp;ROUNDUP(Grunddaten[[#This Row],[Proporzgenaue Zahl Ausschuss]],0),ROUND(Grunddaten[[#This Row],[Proporzgenaue Zahl Ausschuss]],0))</f>
        <v>0 oder 1</v>
      </c>
      <c r="H16" s="52" t="str">
        <f t="shared" si="0"/>
        <v>OK</v>
      </c>
      <c r="I16" s="52" t="str">
        <f>IF(TabSLS[[#This Row],[QK verletzt]],"NOK","OK")</f>
        <v>OK</v>
      </c>
      <c r="J16" s="53" t="str">
        <f>IF(TabDH[[#This Row],[QK verletzt]],"NOK","OK")</f>
        <v>OK</v>
      </c>
      <c r="K16" s="3"/>
      <c r="L16" s="92">
        <f>TabHN[[#This Row],[S ganz]]+IF(NOT(TabHN[[#This Row],[Patt]]),TabHN[[#This Row],[Restsitz]],0)</f>
        <v>0</v>
      </c>
      <c r="M16" s="29">
        <f>IF(TabHN[[#This Row],[Patt]],IF(Pattaufloesung="Los-Chance",TabHN[[#This Row],[Los Chance]],TabHN[[#This Row],[Pattgewinn]]+0),0)</f>
        <v>0.25</v>
      </c>
      <c r="N16" s="30">
        <f>INT(Grunddaten[[#This Row],[Proporzgenaue Zahl Ausschuss]])</f>
        <v>0</v>
      </c>
      <c r="O16" s="31">
        <f>ROUND(Grunddaten[[#This Row],[Proporzgenaue Zahl Ausschuss]]-TabHN[[#This Row],[S ganz]],4)</f>
        <v>0.4</v>
      </c>
      <c r="P16" s="32">
        <f>_xlfn.RANK.EQ(TabHN[[#This Row],[S Rest]],TabHN[S Rest],0)</f>
        <v>4</v>
      </c>
      <c r="Q16" s="30">
        <f>IF(TabHN[[#This Row],[Rng Rest]]&lt;=TabHN[[#Totals],[S Rest]],1,0)</f>
        <v>1</v>
      </c>
      <c r="R16" s="30" t="b">
        <f>AND(TabHN[[#This Row],[Restsitz]]=1,(COUNTIF(TabHN[Rng Rest],TabHN[[#This Row],[Rng Rest]])+TabHN[[#This Row],[Rng Rest]]-1)&gt;TabHN[[#Totals],[S Rest]])</f>
        <v>1</v>
      </c>
      <c r="S16" s="33">
        <f>IF(TabHN[[#This Row],[Patt]],(Sitze_Ausschuss-SUM(TabHN[Sitze]))/TabHN[[#Totals],[Patt]],0)</f>
        <v>0.25</v>
      </c>
      <c r="T16" s="34">
        <f>TabHN[[#This Row],[Patt]]*IF(Pattaufloesung="Stimmen",TabPatt[[#This Row],[Stimmen]],0)*1</f>
        <v>0</v>
      </c>
      <c r="U16" s="35" t="b">
        <f>_xlfn.RANK.EQ(TabHN[[#This Row],[Stimmen/Gelost]],TabHN[Stimmen/Gelost],0)&lt;=(Sitze_Ausschuss-SUM(TabHN[Sitze]))</f>
        <v>1</v>
      </c>
      <c r="V16" s="3"/>
      <c r="W16" s="36">
        <f>COUNTIF(TabSLS[[#This Row],[SP1]:[SP37]],"SITZ")</f>
        <v>0</v>
      </c>
      <c r="X16" s="37">
        <f>IF(TabSLS[[#This Row],[Patt?]],IF(Pattaufloesung="Los-Chance",TabSLS[[#This Row],[Los Chance]],TabSLS[[#This Row],[Pattgewinn]]+0),0)</f>
        <v>0</v>
      </c>
      <c r="Y16" s="38">
        <f>Grunddaten[[#This Row],[Sitze im Hauptorgan]]/_xlfn.NUMBERVALUE(MID(INDEX(TabSLS[[#Headers],[:1]:[:37]],COLUMN()-COLUMN(TabSLS[[#Headers],[:1]])+1),2,3))</f>
        <v>2</v>
      </c>
      <c r="Z16" s="39">
        <f>Grunddaten[[#This Row],[Sitze im Hauptorgan]]/_xlfn.NUMBERVALUE(MID(INDEX(TabSLS[[#Headers],[:1]:[:37]],COLUMN()-COLUMN(TabSLS[[#Headers],[:1]])+1),2,3))</f>
        <v>0.66666666666666663</v>
      </c>
      <c r="AA16" s="39">
        <f>Grunddaten[[#This Row],[Sitze im Hauptorgan]]/_xlfn.NUMBERVALUE(MID(INDEX(TabSLS[[#Headers],[:1]:[:37]],COLUMN()-COLUMN(TabSLS[[#Headers],[:1]])+1),2,3))</f>
        <v>0.4</v>
      </c>
      <c r="AB16" s="39">
        <f>Grunddaten[[#This Row],[Sitze im Hauptorgan]]/_xlfn.NUMBERVALUE(MID(INDEX(TabSLS[[#Headers],[:1]:[:37]],COLUMN()-COLUMN(TabSLS[[#Headers],[:1]])+1),2,3))</f>
        <v>0.2857142857142857</v>
      </c>
      <c r="AC16" s="39">
        <f>Grunddaten[[#This Row],[Sitze im Hauptorgan]]/_xlfn.NUMBERVALUE(MID(INDEX(TabSLS[[#Headers],[:1]:[:37]],COLUMN()-COLUMN(TabSLS[[#Headers],[:1]])+1),2,3))</f>
        <v>0.22222222222222221</v>
      </c>
      <c r="AD16" s="39">
        <f>Grunddaten[[#This Row],[Sitze im Hauptorgan]]/_xlfn.NUMBERVALUE(MID(INDEX(TabSLS[[#Headers],[:1]:[:37]],COLUMN()-COLUMN(TabSLS[[#Headers],[:1]])+1),2,3))</f>
        <v>0.18181818181818182</v>
      </c>
      <c r="AE16" s="39">
        <f>Grunddaten[[#This Row],[Sitze im Hauptorgan]]/_xlfn.NUMBERVALUE(MID(INDEX(TabSLS[[#Headers],[:1]:[:37]],COLUMN()-COLUMN(TabSLS[[#Headers],[:1]])+1),2,3))</f>
        <v>0.15384615384615385</v>
      </c>
      <c r="AF16" s="39">
        <f>Grunddaten[[#This Row],[Sitze im Hauptorgan]]/_xlfn.NUMBERVALUE(MID(INDEX(TabSLS[[#Headers],[:1]:[:37]],COLUMN()-COLUMN(TabSLS[[#Headers],[:1]])+1),2,3))</f>
        <v>0.13333333333333333</v>
      </c>
      <c r="AG16" s="39">
        <f>Grunddaten[[#This Row],[Sitze im Hauptorgan]]/_xlfn.NUMBERVALUE(MID(INDEX(TabSLS[[#Headers],[:1]:[:37]],COLUMN()-COLUMN(TabSLS[[#Headers],[:1]])+1),2,3))</f>
        <v>0.11764705882352941</v>
      </c>
      <c r="AH16" s="39">
        <f>Grunddaten[[#This Row],[Sitze im Hauptorgan]]/_xlfn.NUMBERVALUE(MID(INDEX(TabSLS[[#Headers],[:1]:[:37]],COLUMN()-COLUMN(TabSLS[[#Headers],[:1]])+1),2,3))</f>
        <v>0.10526315789473684</v>
      </c>
      <c r="AI16" s="39">
        <f>Grunddaten[[#This Row],[Sitze im Hauptorgan]]/_xlfn.NUMBERVALUE(MID(INDEX(TabSLS[[#Headers],[:1]:[:37]],COLUMN()-COLUMN(TabSLS[[#Headers],[:1]])+1),2,3))</f>
        <v>9.5238095238095233E-2</v>
      </c>
      <c r="AJ16" s="39">
        <f>Grunddaten[[#This Row],[Sitze im Hauptorgan]]/_xlfn.NUMBERVALUE(MID(INDEX(TabSLS[[#Headers],[:1]:[:37]],COLUMN()-COLUMN(TabSLS[[#Headers],[:1]])+1),2,3))</f>
        <v>8.6956521739130432E-2</v>
      </c>
      <c r="AK16" s="39">
        <f>Grunddaten[[#This Row],[Sitze im Hauptorgan]]/_xlfn.NUMBERVALUE(MID(INDEX(TabSLS[[#Headers],[:1]:[:37]],COLUMN()-COLUMN(TabSLS[[#Headers],[:1]])+1),2,3))</f>
        <v>0.08</v>
      </c>
      <c r="AL16" s="39">
        <f>Grunddaten[[#This Row],[Sitze im Hauptorgan]]/_xlfn.NUMBERVALUE(MID(INDEX(TabSLS[[#Headers],[:1]:[:37]],COLUMN()-COLUMN(TabSLS[[#Headers],[:1]])+1),2,3))</f>
        <v>7.407407407407407E-2</v>
      </c>
      <c r="AM16" s="39">
        <f>Grunddaten[[#This Row],[Sitze im Hauptorgan]]/_xlfn.NUMBERVALUE(MID(INDEX(TabSLS[[#Headers],[:1]:[:37]],COLUMN()-COLUMN(TabSLS[[#Headers],[:1]])+1),2,3))</f>
        <v>6.8965517241379309E-2</v>
      </c>
      <c r="AN16" s="39">
        <f>Grunddaten[[#This Row],[Sitze im Hauptorgan]]/_xlfn.NUMBERVALUE(MID(INDEX(TabSLS[[#Headers],[:1]:[:37]],COLUMN()-COLUMN(TabSLS[[#Headers],[:1]])+1),2,3))</f>
        <v>6.4516129032258063E-2</v>
      </c>
      <c r="AO16" s="39">
        <f>Grunddaten[[#This Row],[Sitze im Hauptorgan]]/_xlfn.NUMBERVALUE(MID(INDEX(TabSLS[[#Headers],[:1]:[:37]],COLUMN()-COLUMN(TabSLS[[#Headers],[:1]])+1),2,3))</f>
        <v>6.0606060606060608E-2</v>
      </c>
      <c r="AP16" s="39">
        <f>Grunddaten[[#This Row],[Sitze im Hauptorgan]]/_xlfn.NUMBERVALUE(MID(INDEX(TabSLS[[#Headers],[:1]:[:37]],COLUMN()-COLUMN(TabSLS[[#Headers],[:1]])+1),2,3))</f>
        <v>5.7142857142857141E-2</v>
      </c>
      <c r="AQ16" s="40">
        <f>Grunddaten[[#This Row],[Sitze im Hauptorgan]]/_xlfn.NUMBERVALUE(MID(INDEX(TabSLS[[#Headers],[:1]:[:37]],COLUMN()-COLUMN(TabSLS[[#Headers],[:1]])+1),2,3))</f>
        <v>5.4054054054054057E-2</v>
      </c>
      <c r="AR16" s="41">
        <f>_xlfn.RANK.EQ(TabSLS[[#This Row],[:1]],TabSLS[[:1]:[:37]],0)</f>
        <v>16</v>
      </c>
      <c r="AS16" s="42">
        <f>_xlfn.RANK.EQ(TabSLS[[#This Row],[:3]],TabSLS[[:1]:[:37]],0)</f>
        <v>51</v>
      </c>
      <c r="AT16" s="42">
        <f>_xlfn.RANK.EQ(TabSLS[[#This Row],[:5]],TabSLS[[:1]:[:37]],0)</f>
        <v>79</v>
      </c>
      <c r="AU16" s="42">
        <f>_xlfn.RANK.EQ(TabSLS[[#This Row],[:7]],TabSLS[[:1]:[:37]],0)</f>
        <v>96</v>
      </c>
      <c r="AV16" s="42">
        <f>_xlfn.RANK.EQ(TabSLS[[#This Row],[:9]],TabSLS[[:1]:[:37]],0)</f>
        <v>110</v>
      </c>
      <c r="AW16" s="42">
        <f>_xlfn.RANK.EQ(TabSLS[[#This Row],[:11]],TabSLS[[:1]:[:37]],0)</f>
        <v>119</v>
      </c>
      <c r="AX16" s="42">
        <f>_xlfn.RANK.EQ(TabSLS[[#This Row],[:13]],TabSLS[[:1]:[:37]],0)</f>
        <v>127</v>
      </c>
      <c r="AY16" s="42">
        <f>_xlfn.RANK.EQ(TabSLS[[#This Row],[:15]],TabSLS[[:1]:[:37]],0)</f>
        <v>135</v>
      </c>
      <c r="AZ16" s="42">
        <f>_xlfn.RANK.EQ(TabSLS[[#This Row],[:17]],TabSLS[[:1]:[:37]],0)</f>
        <v>143</v>
      </c>
      <c r="BA16" s="42">
        <f>_xlfn.RANK.EQ(TabSLS[[#This Row],[:19]],TabSLS[[:1]:[:37]],0)</f>
        <v>151</v>
      </c>
      <c r="BB16" s="42">
        <f>_xlfn.RANK.EQ(TabSLS[[#This Row],[:21]],TabSLS[[:1]:[:37]],0)</f>
        <v>157</v>
      </c>
      <c r="BC16" s="42">
        <f>_xlfn.RANK.EQ(TabSLS[[#This Row],[:23]],TabSLS[[:1]:[:37]],0)</f>
        <v>163</v>
      </c>
      <c r="BD16" s="42">
        <f>_xlfn.RANK.EQ(TabSLS[[#This Row],[:25]],TabSLS[[:1]:[:37]],0)</f>
        <v>169</v>
      </c>
      <c r="BE16" s="42">
        <f>_xlfn.RANK.EQ(TabSLS[[#This Row],[:27]],TabSLS[[:1]:[:37]],0)</f>
        <v>174</v>
      </c>
      <c r="BF16" s="42">
        <f>_xlfn.RANK.EQ(TabSLS[[#This Row],[:29]],TabSLS[[:1]:[:37]],0)</f>
        <v>178</v>
      </c>
      <c r="BG16" s="42">
        <f>_xlfn.RANK.EQ(TabSLS[[#This Row],[:31]],TabSLS[[:1]:[:37]],0)</f>
        <v>183</v>
      </c>
      <c r="BH16" s="42">
        <f>_xlfn.RANK.EQ(TabSLS[[#This Row],[:33]],TabSLS[[:1]:[:37]],0)</f>
        <v>187</v>
      </c>
      <c r="BI16" s="42">
        <f>_xlfn.RANK.EQ(TabSLS[[#This Row],[:35]],TabSLS[[:1]:[:37]],0)</f>
        <v>192</v>
      </c>
      <c r="BJ16" s="43">
        <f>_xlfn.RANK.EQ(TabSLS[[#This Row],[:37]],TabSLS[[:1]:[:37]],0)</f>
        <v>196</v>
      </c>
      <c r="BK16" s="44" t="str">
        <f>IF(TabSLS[[#This Row],[R1]]&lt;=Sitze_Ausschuss,IF(TabSLS[[#This Row],[R1]]+COUNTIF(TabSLS[[R1]:[R37]],TabSLS[[#This Row],[R1]])-1&lt;=Sitze_Ausschuss,"SITZ","PATT"),"")</f>
        <v/>
      </c>
      <c r="BL16" s="45" t="str">
        <f>IF(TabSLS[[#This Row],[R3]]&lt;=Sitze_Ausschuss,IF(TabSLS[[#This Row],[R3]]+COUNTIF(TabSLS[[R1]:[R37]],TabSLS[[#This Row],[R3]])-1&lt;=Sitze_Ausschuss,"SITZ","PATT"),"")</f>
        <v/>
      </c>
      <c r="BM16" s="45" t="str">
        <f>IF(TabSLS[[#This Row],[R5]]&lt;=Sitze_Ausschuss,IF(TabSLS[[#This Row],[R5]]+COUNTIF(TabSLS[[R1]:[R37]],TabSLS[[#This Row],[R5]])-1&lt;=Sitze_Ausschuss,"SITZ","PATT"),"")</f>
        <v/>
      </c>
      <c r="BN16" s="45" t="str">
        <f>IF(TabSLS[[#This Row],[R7]]&lt;=Sitze_Ausschuss,IF(TabSLS[[#This Row],[R7]]+COUNTIF(TabSLS[[R1]:[R37]],TabSLS[[#This Row],[R7]])-1&lt;=Sitze_Ausschuss,"SITZ","PATT"),"")</f>
        <v/>
      </c>
      <c r="BO16" s="45" t="str">
        <f>IF(TabSLS[[#This Row],[R9]]&lt;=Sitze_Ausschuss,IF(TabSLS[[#This Row],[R9]]+COUNTIF(TabSLS[[R1]:[R37]],TabSLS[[#This Row],[R9]])-1&lt;=Sitze_Ausschuss,"SITZ","PATT"),"")</f>
        <v/>
      </c>
      <c r="BP16" s="45" t="str">
        <f>IF(TabSLS[[#This Row],[R11]]&lt;=Sitze_Ausschuss,IF(TabSLS[[#This Row],[R11]]+COUNTIF(TabSLS[[R1]:[R37]],TabSLS[[#This Row],[R11]])-1&lt;=Sitze_Ausschuss,"SITZ","PATT"),"")</f>
        <v/>
      </c>
      <c r="BQ16" s="45" t="str">
        <f>IF(TabSLS[[#This Row],[R13]]&lt;=Sitze_Ausschuss,IF(TabSLS[[#This Row],[R13]]+COUNTIF(TabSLS[[R1]:[R37]],TabSLS[[#This Row],[R13]])-1&lt;=Sitze_Ausschuss,"SITZ","PATT"),"")</f>
        <v/>
      </c>
      <c r="BR16" s="45" t="str">
        <f>IF(TabSLS[[#This Row],[R15]]&lt;=Sitze_Ausschuss,IF(TabSLS[[#This Row],[R15]]+COUNTIF(TabSLS[[R1]:[R37]],TabSLS[[#This Row],[R15]])-1&lt;=Sitze_Ausschuss,"SITZ","PATT"),"")</f>
        <v/>
      </c>
      <c r="BS16" s="45" t="str">
        <f>IF(TabSLS[[#This Row],[R17]]&lt;=Sitze_Ausschuss,IF(TabSLS[[#This Row],[R17]]+COUNTIF(TabSLS[[R1]:[R37]],TabSLS[[#This Row],[R17]])-1&lt;=Sitze_Ausschuss,"SITZ","PATT"),"")</f>
        <v/>
      </c>
      <c r="BT16" s="45" t="str">
        <f>IF(TabSLS[[#This Row],[R19]]&lt;=Sitze_Ausschuss,IF(TabSLS[[#This Row],[R19]]+COUNTIF(TabSLS[[R1]:[R37]],TabSLS[[#This Row],[R19]])-1&lt;=Sitze_Ausschuss,"SITZ","PATT"),"")</f>
        <v/>
      </c>
      <c r="BU16" s="45" t="str">
        <f>IF(TabSLS[[#This Row],[R21]]&lt;=Sitze_Ausschuss,IF(TabSLS[[#This Row],[R21]]+COUNTIF(TabSLS[[R1]:[R37]],TabSLS[[#This Row],[R21]])-1&lt;=Sitze_Ausschuss,"SITZ","PATT"),"")</f>
        <v/>
      </c>
      <c r="BV16" s="45" t="str">
        <f>IF(TabSLS[[#This Row],[R23]]&lt;=Sitze_Ausschuss,IF(TabSLS[[#This Row],[R23]]+COUNTIF(TabSLS[[R1]:[R37]],TabSLS[[#This Row],[R23]])-1&lt;=Sitze_Ausschuss,"SITZ","PATT"),"")</f>
        <v/>
      </c>
      <c r="BW16" s="45" t="str">
        <f>IF(TabSLS[[#This Row],[R25]]&lt;=Sitze_Ausschuss,IF(TabSLS[[#This Row],[R25]]+COUNTIF(TabSLS[[R1]:[R37]],TabSLS[[#This Row],[R25]])-1&lt;=Sitze_Ausschuss,"SITZ","PATT"),"")</f>
        <v/>
      </c>
      <c r="BX16" s="45" t="str">
        <f>IF(TabSLS[[#This Row],[R27]]&lt;=Sitze_Ausschuss,IF(TabSLS[[#This Row],[R27]]+COUNTIF(TabSLS[[R1]:[R37]],TabSLS[[#This Row],[R27]])-1&lt;=Sitze_Ausschuss,"SITZ","PATT"),"")</f>
        <v/>
      </c>
      <c r="BY16" s="45" t="str">
        <f>IF(TabSLS[[#This Row],[R29]]&lt;=Sitze_Ausschuss,IF(TabSLS[[#This Row],[R29]]+COUNTIF(TabSLS[[R1]:[R37]],TabSLS[[#This Row],[R29]])-1&lt;=Sitze_Ausschuss,"SITZ","PATT"),"")</f>
        <v/>
      </c>
      <c r="BZ16" s="45" t="str">
        <f>IF(TabSLS[[#This Row],[R31]]&lt;=Sitze_Ausschuss,IF(TabSLS[[#This Row],[R31]]+COUNTIF(TabSLS[[R1]:[R37]],TabSLS[[#This Row],[R31]])-1&lt;=Sitze_Ausschuss,"SITZ","PATT"),"")</f>
        <v/>
      </c>
      <c r="CA16" s="45" t="str">
        <f>IF(TabSLS[[#This Row],[R33]]&lt;=Sitze_Ausschuss,IF(TabSLS[[#This Row],[R33]]+COUNTIF(TabSLS[[R1]:[R37]],TabSLS[[#This Row],[R33]])-1&lt;=Sitze_Ausschuss,"SITZ","PATT"),"")</f>
        <v/>
      </c>
      <c r="CB16" s="45" t="str">
        <f>IF(TabSLS[[#This Row],[R35]]&lt;=Sitze_Ausschuss,IF(TabSLS[[#This Row],[R35]]+COUNTIF(TabSLS[[R1]:[R37]],TabSLS[[#This Row],[R35]])-1&lt;=Sitze_Ausschuss,"SITZ","PATT"),"")</f>
        <v/>
      </c>
      <c r="CC16" s="46" t="str">
        <f>IF(TabSLS[[#This Row],[R37]]&lt;=Sitze_Ausschuss,IF(TabSLS[[#This Row],[R37]]+COUNTIF(TabSLS[[R1]:[R37]],TabSLS[[#This Row],[R37]])-1&lt;=Sitze_Ausschuss,"SITZ","PATT"),"")</f>
        <v/>
      </c>
      <c r="CD16" s="47" t="b">
        <f>COUNTIF(TabSLS[[#This Row],[SP1]:[SP37]],"PATT")&gt;0</f>
        <v>0</v>
      </c>
      <c r="CE16" s="33">
        <f>IF(TabSLS[[#This Row],[Patt?]],(Sitze_Ausschuss-SUM(TabSLS[Sitze]))/TabSLS[[#Totals],[Patt?]],0)</f>
        <v>0</v>
      </c>
      <c r="CF16" s="48">
        <f>TabSLS[[#This Row],[Patt?]]*IF(Pattaufloesung="Stimmen",TabPatt[[#This Row],[Stimmen]],0)*1</f>
        <v>0</v>
      </c>
      <c r="CG16" s="49" t="b">
        <f>_xlfn.RANK.EQ(TabSLS[[#This Row],[Stimmen Gelost]],TabSLS[Stimmen Gelost],0)&lt;=(Sitze_Ausschuss-SUM(TabSLS[Sitze]))</f>
        <v>0</v>
      </c>
      <c r="CH16" s="50" t="b">
        <f>OR(TabSLS[[#This Row],[Sitze]]&lt;ROUNDDOWN(Grunddaten[[#This Row],[Proporzgenaue Zahl Ausschuss]],0),TabSLS[[#This Row],[Sitze]]+(TabSLS[[#This Row],[Patt?]]*1)&gt;ROUNDUP(Grunddaten[[#This Row],[Proporzgenaue Zahl Ausschuss]],0))</f>
        <v>0</v>
      </c>
      <c r="CI16" s="3"/>
      <c r="CJ16" s="36">
        <f>COUNTIF(TabDH[[#This Row],[SP1]:[SP19]],"SITZ")</f>
        <v>0</v>
      </c>
      <c r="CK16" s="37">
        <f>IF(TabDH[[#This Row],[Patt]],IF(Pattaufloesung="Los-Chance",TabDH[[#This Row],[Los Chance]],TabDH[[#This Row],[Pattgewinn]]+0),0)</f>
        <v>0</v>
      </c>
      <c r="CL16" s="38">
        <f>Grunddaten[[#This Row],[Sitze im Hauptorgan]]/_xlfn.NUMBERVALUE(MID(INDEX(TabDH[[#Headers],[:1]:[:19]],COLUMN()-COLUMN(TabDH[[#Headers],[:1]])+1),2,3))</f>
        <v>2</v>
      </c>
      <c r="CM16" s="39">
        <f>Grunddaten[[#This Row],[Sitze im Hauptorgan]]/_xlfn.NUMBERVALUE(MID(INDEX(TabDH[[#Headers],[:1]:[:19]],COLUMN()-COLUMN(TabDH[[#Headers],[:1]])+1),2,3))</f>
        <v>1</v>
      </c>
      <c r="CN16" s="39">
        <f>Grunddaten[[#This Row],[Sitze im Hauptorgan]]/_xlfn.NUMBERVALUE(MID(INDEX(TabDH[[#Headers],[:1]:[:19]],COLUMN()-COLUMN(TabDH[[#Headers],[:1]])+1),2,3))</f>
        <v>0.66666666666666663</v>
      </c>
      <c r="CO16" s="39">
        <f>Grunddaten[[#This Row],[Sitze im Hauptorgan]]/_xlfn.NUMBERVALUE(MID(INDEX(TabDH[[#Headers],[:1]:[:19]],COLUMN()-COLUMN(TabDH[[#Headers],[:1]])+1),2,3))</f>
        <v>0.5</v>
      </c>
      <c r="CP16" s="39">
        <f>Grunddaten[[#This Row],[Sitze im Hauptorgan]]/_xlfn.NUMBERVALUE(MID(INDEX(TabDH[[#Headers],[:1]:[:19]],COLUMN()-COLUMN(TabDH[[#Headers],[:1]])+1),2,3))</f>
        <v>0.4</v>
      </c>
      <c r="CQ16" s="39">
        <f>Grunddaten[[#This Row],[Sitze im Hauptorgan]]/_xlfn.NUMBERVALUE(MID(INDEX(TabDH[[#Headers],[:1]:[:19]],COLUMN()-COLUMN(TabDH[[#Headers],[:1]])+1),2,3))</f>
        <v>0.33333333333333331</v>
      </c>
      <c r="CR16" s="39">
        <f>Grunddaten[[#This Row],[Sitze im Hauptorgan]]/_xlfn.NUMBERVALUE(MID(INDEX(TabDH[[#Headers],[:1]:[:19]],COLUMN()-COLUMN(TabDH[[#Headers],[:1]])+1),2,3))</f>
        <v>0.2857142857142857</v>
      </c>
      <c r="CS16" s="39">
        <f>Grunddaten[[#This Row],[Sitze im Hauptorgan]]/_xlfn.NUMBERVALUE(MID(INDEX(TabDH[[#Headers],[:1]:[:19]],COLUMN()-COLUMN(TabDH[[#Headers],[:1]])+1),2,3))</f>
        <v>0.25</v>
      </c>
      <c r="CT16" s="39">
        <f>Grunddaten[[#This Row],[Sitze im Hauptorgan]]/_xlfn.NUMBERVALUE(MID(INDEX(TabDH[[#Headers],[:1]:[:19]],COLUMN()-COLUMN(TabDH[[#Headers],[:1]])+1),2,3))</f>
        <v>0.22222222222222221</v>
      </c>
      <c r="CU16" s="39">
        <f>Grunddaten[[#This Row],[Sitze im Hauptorgan]]/_xlfn.NUMBERVALUE(MID(INDEX(TabDH[[#Headers],[:1]:[:19]],COLUMN()-COLUMN(TabDH[[#Headers],[:1]])+1),2,3))</f>
        <v>0.2</v>
      </c>
      <c r="CV16" s="39">
        <f>Grunddaten[[#This Row],[Sitze im Hauptorgan]]/_xlfn.NUMBERVALUE(MID(INDEX(TabDH[[#Headers],[:1]:[:19]],COLUMN()-COLUMN(TabDH[[#Headers],[:1]])+1),2,3))</f>
        <v>0.18181818181818182</v>
      </c>
      <c r="CW16" s="39">
        <f>Grunddaten[[#This Row],[Sitze im Hauptorgan]]/_xlfn.NUMBERVALUE(MID(INDEX(TabDH[[#Headers],[:1]:[:19]],COLUMN()-COLUMN(TabDH[[#Headers],[:1]])+1),2,3))</f>
        <v>0.16666666666666666</v>
      </c>
      <c r="CX16" s="39">
        <f>Grunddaten[[#This Row],[Sitze im Hauptorgan]]/_xlfn.NUMBERVALUE(MID(INDEX(TabDH[[#Headers],[:1]:[:19]],COLUMN()-COLUMN(TabDH[[#Headers],[:1]])+1),2,3))</f>
        <v>0.15384615384615385</v>
      </c>
      <c r="CY16" s="39">
        <f>Grunddaten[[#This Row],[Sitze im Hauptorgan]]/_xlfn.NUMBERVALUE(MID(INDEX(TabDH[[#Headers],[:1]:[:19]],COLUMN()-COLUMN(TabDH[[#Headers],[:1]])+1),2,3))</f>
        <v>0.14285714285714285</v>
      </c>
      <c r="CZ16" s="39">
        <f>Grunddaten[[#This Row],[Sitze im Hauptorgan]]/_xlfn.NUMBERVALUE(MID(INDEX(TabDH[[#Headers],[:1]:[:19]],COLUMN()-COLUMN(TabDH[[#Headers],[:1]])+1),2,3))</f>
        <v>0.13333333333333333</v>
      </c>
      <c r="DA16" s="39">
        <f>Grunddaten[[#This Row],[Sitze im Hauptorgan]]/_xlfn.NUMBERVALUE(MID(INDEX(TabDH[[#Headers],[:1]:[:19]],COLUMN()-COLUMN(TabDH[[#Headers],[:1]])+1),2,3))</f>
        <v>0.125</v>
      </c>
      <c r="DB16" s="39">
        <f>Grunddaten[[#This Row],[Sitze im Hauptorgan]]/_xlfn.NUMBERVALUE(MID(INDEX(TabDH[[#Headers],[:1]:[:19]],COLUMN()-COLUMN(TabDH[[#Headers],[:1]])+1),2,3))</f>
        <v>0.11764705882352941</v>
      </c>
      <c r="DC16" s="39">
        <f>Grunddaten[[#This Row],[Sitze im Hauptorgan]]/_xlfn.NUMBERVALUE(MID(INDEX(TabDH[[#Headers],[:1]:[:19]],COLUMN()-COLUMN(TabDH[[#Headers],[:1]])+1),2,3))</f>
        <v>0.1111111111111111</v>
      </c>
      <c r="DD16" s="40">
        <f>Grunddaten[[#This Row],[Sitze im Hauptorgan]]/_xlfn.NUMBERVALUE(MID(INDEX(TabDH[[#Headers],[:1]:[:19]],COLUMN()-COLUMN(TabDH[[#Headers],[:1]])+1),2,3))</f>
        <v>0.10526315789473684</v>
      </c>
      <c r="DE16" s="41">
        <f>_xlfn.RANK.EQ(TabDH[[#This Row],[:1]],TabDH[[:1]:[:19]],0)</f>
        <v>26</v>
      </c>
      <c r="DF16" s="42">
        <f>_xlfn.RANK.EQ(TabDH[[#This Row],[:2]],TabDH[[:1]:[:19]],0)</f>
        <v>60</v>
      </c>
      <c r="DG16" s="42">
        <f>_xlfn.RANK.EQ(TabDH[[#This Row],[:3]],TabDH[[:1]:[:19]],0)</f>
        <v>82</v>
      </c>
      <c r="DH16" s="42">
        <f>_xlfn.RANK.EQ(TabDH[[#This Row],[:4]],TabDH[[:1]:[:19]],0)</f>
        <v>98</v>
      </c>
      <c r="DI16" s="42">
        <f>_xlfn.RANK.EQ(TabDH[[#This Row],[:5]],TabDH[[:1]:[:19]],0)</f>
        <v>111</v>
      </c>
      <c r="DJ16" s="42">
        <f>_xlfn.RANK.EQ(TabDH[[#This Row],[:6]],TabDH[[:1]:[:19]],0)</f>
        <v>118</v>
      </c>
      <c r="DK16" s="42">
        <f>_xlfn.RANK.EQ(TabDH[[#This Row],[:7]],TabDH[[:1]:[:19]],0)</f>
        <v>127</v>
      </c>
      <c r="DL16" s="42">
        <f>_xlfn.RANK.EQ(TabDH[[#This Row],[:8]],TabDH[[:1]:[:19]],0)</f>
        <v>134</v>
      </c>
      <c r="DM16" s="42">
        <f>_xlfn.RANK.EQ(TabDH[[#This Row],[:9]],TabDH[[:1]:[:19]],0)</f>
        <v>143</v>
      </c>
      <c r="DN16" s="42">
        <f>_xlfn.RANK.EQ(TabDH[[#This Row],[:10]],TabDH[[:1]:[:19]],0)</f>
        <v>150</v>
      </c>
      <c r="DO16" s="42">
        <f>_xlfn.RANK.EQ(TabDH[[#This Row],[:11]],TabDH[[:1]:[:19]],0)</f>
        <v>157</v>
      </c>
      <c r="DP16" s="42">
        <f>_xlfn.RANK.EQ(TabDH[[#This Row],[:12]],TabDH[[:1]:[:19]],0)</f>
        <v>162</v>
      </c>
      <c r="DQ16" s="42">
        <f>_xlfn.RANK.EQ(TabDH[[#This Row],[:13]],TabDH[[:1]:[:19]],0)</f>
        <v>169</v>
      </c>
      <c r="DR16" s="42">
        <f>_xlfn.RANK.EQ(TabDH[[#This Row],[:14]],TabDH[[:1]:[:19]],0)</f>
        <v>173</v>
      </c>
      <c r="DS16" s="42">
        <f>_xlfn.RANK.EQ(TabDH[[#This Row],[:15]],TabDH[[:1]:[:19]],0)</f>
        <v>178</v>
      </c>
      <c r="DT16" s="42">
        <f>_xlfn.RANK.EQ(TabDH[[#This Row],[:16]],TabDH[[:1]:[:19]],0)</f>
        <v>182</v>
      </c>
      <c r="DU16" s="42">
        <f>_xlfn.RANK.EQ(TabDH[[#This Row],[:17]],TabDH[[:1]:[:19]],0)</f>
        <v>187</v>
      </c>
      <c r="DV16" s="42">
        <f>_xlfn.RANK.EQ(TabDH[[#This Row],[:18]],TabDH[[:1]:[:19]],0)</f>
        <v>191</v>
      </c>
      <c r="DW16" s="43">
        <f>_xlfn.RANK.EQ(TabDH[[#This Row],[:19]],TabDH[[:1]:[:19]],0)</f>
        <v>196</v>
      </c>
      <c r="DX16" s="44" t="str">
        <f>IF(TabDH[[#This Row],[R1]]&lt;=Sitze_Ausschuss,IF(TabDH[[#This Row],[R1]]+COUNTIF(TabDH[[R1]:[R19]],TabDH[[#This Row],[R1]])-1&lt;=Sitze_Ausschuss,"SITZ","PATT"),"")</f>
        <v/>
      </c>
      <c r="DY16" s="45" t="str">
        <f>IF(TabDH[[#This Row],[R2]]&lt;=Sitze_Ausschuss,IF(TabDH[[#This Row],[R2]]+COUNTIF(TabDH[[R1]:[R19]],TabDH[[#This Row],[R2]])-1&lt;=Sitze_Ausschuss,"SITZ","PATT"),"")</f>
        <v/>
      </c>
      <c r="DZ16" s="45" t="str">
        <f>IF(TabDH[[#This Row],[R3]]&lt;=Sitze_Ausschuss,IF(TabDH[[#This Row],[R3]]+COUNTIF(TabDH[[R1]:[R19]],TabDH[[#This Row],[R3]])-1&lt;=Sitze_Ausschuss,"SITZ","PATT"),"")</f>
        <v/>
      </c>
      <c r="EA16" s="45" t="str">
        <f>IF(TabDH[[#This Row],[R4]]&lt;=Sitze_Ausschuss,IF(TabDH[[#This Row],[R4]]+COUNTIF(TabDH[[R1]:[R19]],TabDH[[#This Row],[R4]])-1&lt;=Sitze_Ausschuss,"SITZ","PATT"),"")</f>
        <v/>
      </c>
      <c r="EB16" s="45" t="str">
        <f>IF(TabDH[[#This Row],[R5]]&lt;=Sitze_Ausschuss,IF(TabDH[[#This Row],[R5]]+COUNTIF(TabDH[[R1]:[R19]],TabDH[[#This Row],[R5]])-1&lt;=Sitze_Ausschuss,"SITZ","PATT"),"")</f>
        <v/>
      </c>
      <c r="EC16" s="45" t="str">
        <f>IF(TabDH[[#This Row],[R6]]&lt;=Sitze_Ausschuss,IF(TabDH[[#This Row],[R6]]+COUNTIF(TabDH[[R1]:[R19]],TabDH[[#This Row],[R6]])-1&lt;=Sitze_Ausschuss,"SITZ","PATT"),"")</f>
        <v/>
      </c>
      <c r="ED16" s="45" t="str">
        <f>IF(TabDH[[#This Row],[R7]]&lt;=Sitze_Ausschuss,IF(TabDH[[#This Row],[R7]]+COUNTIF(TabDH[[R1]:[R19]],TabDH[[#This Row],[R7]])-1&lt;=Sitze_Ausschuss,"SITZ","PATT"),"")</f>
        <v/>
      </c>
      <c r="EE16" s="45" t="str">
        <f>IF(TabDH[[#This Row],[R8]]&lt;=Sitze_Ausschuss,IF(TabDH[[#This Row],[R8]]+COUNTIF(TabDH[[R1]:[R19]],TabDH[[#This Row],[R8]])-1&lt;=Sitze_Ausschuss,"SITZ","PATT"),"")</f>
        <v/>
      </c>
      <c r="EF16" s="45" t="str">
        <f>IF(TabDH[[#This Row],[R9]]&lt;=Sitze_Ausschuss,IF(TabDH[[#This Row],[R9]]+COUNTIF(TabDH[[R1]:[R19]],TabDH[[#This Row],[R9]])-1&lt;=Sitze_Ausschuss,"SITZ","PATT"),"")</f>
        <v/>
      </c>
      <c r="EG16" s="45" t="str">
        <f>IF(TabDH[[#This Row],[R10]]&lt;=Sitze_Ausschuss,IF(TabDH[[#This Row],[R10]]+COUNTIF(TabDH[[R1]:[R19]],TabDH[[#This Row],[R10]])-1&lt;=Sitze_Ausschuss,"SITZ","PATT"),"")</f>
        <v/>
      </c>
      <c r="EH16" s="45" t="str">
        <f>IF(TabDH[[#This Row],[R11]]&lt;=Sitze_Ausschuss,IF(TabDH[[#This Row],[R11]]+COUNTIF(TabDH[[R1]:[R19]],TabDH[[#This Row],[R11]])-1&lt;=Sitze_Ausschuss,"SITZ","PATT"),"")</f>
        <v/>
      </c>
      <c r="EI16" s="45" t="str">
        <f>IF(TabDH[[#This Row],[R12]]&lt;=Sitze_Ausschuss,IF(TabDH[[#This Row],[R12]]+COUNTIF(TabDH[[R1]:[R19]],TabDH[[#This Row],[R12]])-1&lt;=Sitze_Ausschuss,"SITZ","PATT"),"")</f>
        <v/>
      </c>
      <c r="EJ16" s="45" t="str">
        <f>IF(TabDH[[#This Row],[R13]]&lt;=Sitze_Ausschuss,IF(TabDH[[#This Row],[R13]]+COUNTIF(TabDH[[R1]:[R19]],TabDH[[#This Row],[R13]])-1&lt;=Sitze_Ausschuss,"SITZ","PATT"),"")</f>
        <v/>
      </c>
      <c r="EK16" s="45" t="str">
        <f>IF(TabDH[[#This Row],[R14]]&lt;=Sitze_Ausschuss,IF(TabDH[[#This Row],[R14]]+COUNTIF(TabDH[[R1]:[R19]],TabDH[[#This Row],[R14]])-1&lt;=Sitze_Ausschuss,"SITZ","PATT"),"")</f>
        <v/>
      </c>
      <c r="EL16" s="45" t="str">
        <f>IF(TabDH[[#This Row],[R15]]&lt;=Sitze_Ausschuss,IF(TabDH[[#This Row],[R15]]+COUNTIF(TabDH[[R1]:[R19]],TabDH[[#This Row],[R15]])-1&lt;=Sitze_Ausschuss,"SITZ","PATT"),"")</f>
        <v/>
      </c>
      <c r="EM16" s="45" t="str">
        <f>IF(TabDH[[#This Row],[R16]]&lt;=Sitze_Ausschuss,IF(TabDH[[#This Row],[R16]]+COUNTIF(TabDH[[R1]:[R19]],TabDH[[#This Row],[R16]])-1&lt;=Sitze_Ausschuss,"SITZ","PATT"),"")</f>
        <v/>
      </c>
      <c r="EN16" s="45" t="str">
        <f>IF(TabDH[[#This Row],[R17]]&lt;=Sitze_Ausschuss,IF(TabDH[[#This Row],[R17]]+COUNTIF(TabDH[[R1]:[R19]],TabDH[[#This Row],[R17]])-1&lt;=Sitze_Ausschuss,"SITZ","PATT"),"")</f>
        <v/>
      </c>
      <c r="EO16" s="45" t="str">
        <f>IF(TabDH[[#This Row],[R18]]&lt;=Sitze_Ausschuss,IF(TabDH[[#This Row],[R18]]+COUNTIF(TabDH[[R1]:[R19]],TabDH[[#This Row],[R18]])-1&lt;=Sitze_Ausschuss,"SITZ","PATT"),"")</f>
        <v/>
      </c>
      <c r="EP16" s="45" t="str">
        <f>IF(TabDH[[#This Row],[R19]]&lt;=Sitze_Ausschuss,IF(TabDH[[#This Row],[R19]]+COUNTIF(TabDH[[R1]:[R19]],TabDH[[#This Row],[R19]])-1&lt;=Sitze_Ausschuss,"SITZ","PATT"),"")</f>
        <v/>
      </c>
      <c r="EQ16" s="47" t="b">
        <f>COUNTIF(TabDH[[#This Row],[SP1]:[SP19]],"PATT")&gt;0</f>
        <v>0</v>
      </c>
      <c r="ER16" s="33">
        <f>IF(TabDH[[#This Row],[Patt]],(Sitze_Ausschuss-SUM(TabDH[Sitze]))/TabDH[[#Totals],[Patt]],0)</f>
        <v>0</v>
      </c>
      <c r="ES16" s="48">
        <f>TabDH[[#This Row],[Patt]]*IF(Pattaufloesung="Stimmen",TabPatt[[#This Row],[Stimmen]],0)*1</f>
        <v>0</v>
      </c>
      <c r="ET16" s="49" t="b">
        <f>_xlfn.RANK.EQ(TabDH[[#This Row],[Stimmen/Gelost]],TabDH[Stimmen/Gelost],0)&lt;=(Sitze_Ausschuss-SUM(TabDH[Sitze]))</f>
        <v>0</v>
      </c>
      <c r="EU16" s="50" t="b">
        <f>OR(TabDH[[#This Row],[Sitze]]&lt;ROUNDDOWN(Grunddaten[[#This Row],[Proporzgenaue Zahl Ausschuss]],0),TabDH[[#This Row],[Sitze]]+(TabDH[[#This Row],[Patt]]*1)&gt;ROUNDUP(Grunddaten[[#This Row],[Proporzgenaue Zahl Ausschuss]],0))</f>
        <v>0</v>
      </c>
      <c r="EV16" s="3"/>
      <c r="EW16" s="51" t="str">
        <f>Grunddaten[[#This Row],[Partei/Wählergruppe]]&amp;""</f>
        <v>FRANKEN</v>
      </c>
      <c r="EX16" s="71">
        <v>987</v>
      </c>
      <c r="EY16" s="3"/>
      <c r="EZ16" t="b">
        <f>IF(AND(Grunddaten[[#This Row],[Sitze im Hauptorgan]]&gt;0,ISBLANK(Grunddaten[[#This Row],[AG?]])),ROW())</f>
        <v>0</v>
      </c>
      <c r="FA16">
        <f t="shared" si="1"/>
        <v>0</v>
      </c>
      <c r="FB16" t="str">
        <f>Grunddaten[[#This Row],[Partei/Wählergruppe]]</f>
        <v>FRANKEN</v>
      </c>
      <c r="FC16">
        <f>Grunddaten[[#This Row],[Sitze im Hauptorgan]]</f>
        <v>2</v>
      </c>
      <c r="FD16">
        <f>TabPatt[[#This Row],[Stimmen]]</f>
        <v>987</v>
      </c>
      <c r="FE16" t="str">
        <f>IF(Grunddaten[[#This Row],[AG?]]=FE$6,MID(Grunddaten[[#This Row],[Partei/Wählergruppe]],1,3),"")</f>
        <v>FRA</v>
      </c>
      <c r="FF16" t="str">
        <f>IF(Grunddaten[[#This Row],[AG?]]=FF$6,MID(Grunddaten[[#This Row],[Partei/Wählergruppe]],1,3),"")</f>
        <v/>
      </c>
      <c r="FG16" t="str">
        <f>IF(Grunddaten[[#This Row],[AG?]]=FG$6,MID(Grunddaten[[#This Row],[Partei/Wählergruppe]],1,3),"")</f>
        <v/>
      </c>
      <c r="FH16" t="str">
        <f>IF(Grunddaten[[#This Row],[AG?]]=FH$6,MID(Grunddaten[[#This Row],[Partei/Wählergruppe]],1,3),"")</f>
        <v/>
      </c>
      <c r="FI16" s="154">
        <f>TabHN[[#This Row],[Sitze]]+TabHN[[#This Row],[Patt Auflösung]]</f>
        <v>0.25</v>
      </c>
      <c r="FJ16" s="154">
        <f>TabSLS[[#This Row],[Sitze]]+TabSLS[[#This Row],[Patt Auflösung]]</f>
        <v>0</v>
      </c>
      <c r="FK16" s="154">
        <f>TabDH[[#This Row],[Sitze]]+TabDH[[#This Row],[Patt Auflösung]]</f>
        <v>0</v>
      </c>
      <c r="FL16" s="154">
        <f t="shared" si="2"/>
        <v>0</v>
      </c>
      <c r="FM16" s="154">
        <f t="shared" si="3"/>
        <v>0.25</v>
      </c>
      <c r="FN16" t="str">
        <f t="shared" si="4"/>
        <v>K.SITZ</v>
      </c>
    </row>
    <row r="17" spans="1:174" ht="15.75" thickBot="1" x14ac:dyDescent="0.3">
      <c r="A17" s="3"/>
      <c r="B17" s="56" t="s">
        <v>171</v>
      </c>
      <c r="C17" s="71">
        <v>1</v>
      </c>
      <c r="D17" s="71" t="s">
        <v>176</v>
      </c>
      <c r="E17" s="93">
        <f>Grunddaten[[#This Row],[Sitze im Hauptorgan]]/Grunddaten[[#Totals],[Sitze im Hauptorgan]]*Sitze_Ausschuss</f>
        <v>0.19999999999999998</v>
      </c>
      <c r="F17" s="110" t="b">
        <f>OR(Grunddaten[[#This Row],[Proporzgenaue Zahl Ausschuss]]&gt;=1,Grunddaten[[#This Row],[Sitze im Hauptorgan]]&gt;Sitze_Hauptorgan/(1+Sitze_Ausschuss))</f>
        <v>0</v>
      </c>
      <c r="G17" s="159" t="str">
        <f>IF(ROUNDDOWN(Grunddaten[[#This Row],[Proporzgenaue Zahl Ausschuss]],0)&lt;&gt;ROUNDUP(Grunddaten[[#This Row],[Proporzgenaue Zahl Ausschuss]],0), ROUNDDOWN(Grunddaten[[#This Row],[Proporzgenaue Zahl Ausschuss]],0)&amp;" oder "&amp;ROUNDUP(Grunddaten[[#This Row],[Proporzgenaue Zahl Ausschuss]],0),ROUND(Grunddaten[[#This Row],[Proporzgenaue Zahl Ausschuss]],0))</f>
        <v>0 oder 1</v>
      </c>
      <c r="H17" s="52" t="str">
        <f t="shared" si="0"/>
        <v>OK</v>
      </c>
      <c r="I17" s="52" t="str">
        <f>IF(TabSLS[[#This Row],[QK verletzt]],"NOK","OK")</f>
        <v>OK</v>
      </c>
      <c r="J17" s="53" t="str">
        <f>IF(TabDH[[#This Row],[QK verletzt]],"NOK","OK")</f>
        <v>OK</v>
      </c>
      <c r="K17" s="3"/>
      <c r="L17" s="92">
        <f>TabHN[[#This Row],[S ganz]]+IF(NOT(TabHN[[#This Row],[Patt]]),TabHN[[#This Row],[Restsitz]],0)</f>
        <v>0</v>
      </c>
      <c r="M17" s="29">
        <f>IF(TabHN[[#This Row],[Patt]],IF(Pattaufloesung="Los-Chance",TabHN[[#This Row],[Los Chance]],TabHN[[#This Row],[Pattgewinn]]+0),0)</f>
        <v>0</v>
      </c>
      <c r="N17" s="30">
        <f>INT(Grunddaten[[#This Row],[Proporzgenaue Zahl Ausschuss]])</f>
        <v>0</v>
      </c>
      <c r="O17" s="31">
        <f>ROUND(Grunddaten[[#This Row],[Proporzgenaue Zahl Ausschuss]]-TabHN[[#This Row],[S ganz]],4)</f>
        <v>0.2</v>
      </c>
      <c r="P17" s="32">
        <f>_xlfn.RANK.EQ(TabHN[[#This Row],[S Rest]],TabHN[S Rest],0)</f>
        <v>8</v>
      </c>
      <c r="Q17" s="30">
        <f>IF(TabHN[[#This Row],[Rng Rest]]&lt;=TabHN[[#Totals],[S Rest]],1,0)</f>
        <v>0</v>
      </c>
      <c r="R17" s="30" t="b">
        <f>AND(TabHN[[#This Row],[Restsitz]]=1,(COUNTIF(TabHN[Rng Rest],TabHN[[#This Row],[Rng Rest]])+TabHN[[#This Row],[Rng Rest]]-1)&gt;TabHN[[#Totals],[S Rest]])</f>
        <v>0</v>
      </c>
      <c r="S17" s="33">
        <f>IF(TabHN[[#This Row],[Patt]],(Sitze_Ausschuss-SUM(TabHN[Sitze]))/TabHN[[#Totals],[Patt]],0)</f>
        <v>0</v>
      </c>
      <c r="T17" s="34">
        <f>TabHN[[#This Row],[Patt]]*IF(Pattaufloesung="Stimmen",TabPatt[[#This Row],[Stimmen]],0)*1</f>
        <v>0</v>
      </c>
      <c r="U17" s="35" t="b">
        <f>_xlfn.RANK.EQ(TabHN[[#This Row],[Stimmen/Gelost]],TabHN[Stimmen/Gelost],0)&lt;=(Sitze_Ausschuss-SUM(TabHN[Sitze]))</f>
        <v>1</v>
      </c>
      <c r="V17" s="3"/>
      <c r="W17" s="36">
        <f>COUNTIF(TabSLS[[#This Row],[SP1]:[SP37]],"SITZ")</f>
        <v>0</v>
      </c>
      <c r="X17" s="37">
        <f>IF(TabSLS[[#This Row],[Patt?]],IF(Pattaufloesung="Los-Chance",TabSLS[[#This Row],[Los Chance]],TabSLS[[#This Row],[Pattgewinn]]+0),0)</f>
        <v>0</v>
      </c>
      <c r="Y17" s="38">
        <f>Grunddaten[[#This Row],[Sitze im Hauptorgan]]/_xlfn.NUMBERVALUE(MID(INDEX(TabSLS[[#Headers],[:1]:[:37]],COLUMN()-COLUMN(TabSLS[[#Headers],[:1]])+1),2,3))</f>
        <v>1</v>
      </c>
      <c r="Z17" s="39">
        <f>Grunddaten[[#This Row],[Sitze im Hauptorgan]]/_xlfn.NUMBERVALUE(MID(INDEX(TabSLS[[#Headers],[:1]:[:37]],COLUMN()-COLUMN(TabSLS[[#Headers],[:1]])+1),2,3))</f>
        <v>0.33333333333333331</v>
      </c>
      <c r="AA17" s="39">
        <f>Grunddaten[[#This Row],[Sitze im Hauptorgan]]/_xlfn.NUMBERVALUE(MID(INDEX(TabSLS[[#Headers],[:1]:[:37]],COLUMN()-COLUMN(TabSLS[[#Headers],[:1]])+1),2,3))</f>
        <v>0.2</v>
      </c>
      <c r="AB17" s="39">
        <f>Grunddaten[[#This Row],[Sitze im Hauptorgan]]/_xlfn.NUMBERVALUE(MID(INDEX(TabSLS[[#Headers],[:1]:[:37]],COLUMN()-COLUMN(TabSLS[[#Headers],[:1]])+1),2,3))</f>
        <v>0.14285714285714285</v>
      </c>
      <c r="AC17" s="39">
        <f>Grunddaten[[#This Row],[Sitze im Hauptorgan]]/_xlfn.NUMBERVALUE(MID(INDEX(TabSLS[[#Headers],[:1]:[:37]],COLUMN()-COLUMN(TabSLS[[#Headers],[:1]])+1),2,3))</f>
        <v>0.1111111111111111</v>
      </c>
      <c r="AD17" s="39">
        <f>Grunddaten[[#This Row],[Sitze im Hauptorgan]]/_xlfn.NUMBERVALUE(MID(INDEX(TabSLS[[#Headers],[:1]:[:37]],COLUMN()-COLUMN(TabSLS[[#Headers],[:1]])+1),2,3))</f>
        <v>9.0909090909090912E-2</v>
      </c>
      <c r="AE17" s="39">
        <f>Grunddaten[[#This Row],[Sitze im Hauptorgan]]/_xlfn.NUMBERVALUE(MID(INDEX(TabSLS[[#Headers],[:1]:[:37]],COLUMN()-COLUMN(TabSLS[[#Headers],[:1]])+1),2,3))</f>
        <v>7.6923076923076927E-2</v>
      </c>
      <c r="AF17" s="39">
        <f>Grunddaten[[#This Row],[Sitze im Hauptorgan]]/_xlfn.NUMBERVALUE(MID(INDEX(TabSLS[[#Headers],[:1]:[:37]],COLUMN()-COLUMN(TabSLS[[#Headers],[:1]])+1),2,3))</f>
        <v>6.6666666666666666E-2</v>
      </c>
      <c r="AG17" s="39">
        <f>Grunddaten[[#This Row],[Sitze im Hauptorgan]]/_xlfn.NUMBERVALUE(MID(INDEX(TabSLS[[#Headers],[:1]:[:37]],COLUMN()-COLUMN(TabSLS[[#Headers],[:1]])+1),2,3))</f>
        <v>5.8823529411764705E-2</v>
      </c>
      <c r="AH17" s="39">
        <f>Grunddaten[[#This Row],[Sitze im Hauptorgan]]/_xlfn.NUMBERVALUE(MID(INDEX(TabSLS[[#Headers],[:1]:[:37]],COLUMN()-COLUMN(TabSLS[[#Headers],[:1]])+1),2,3))</f>
        <v>5.2631578947368418E-2</v>
      </c>
      <c r="AI17" s="39">
        <f>Grunddaten[[#This Row],[Sitze im Hauptorgan]]/_xlfn.NUMBERVALUE(MID(INDEX(TabSLS[[#Headers],[:1]:[:37]],COLUMN()-COLUMN(TabSLS[[#Headers],[:1]])+1),2,3))</f>
        <v>4.7619047619047616E-2</v>
      </c>
      <c r="AJ17" s="39">
        <f>Grunddaten[[#This Row],[Sitze im Hauptorgan]]/_xlfn.NUMBERVALUE(MID(INDEX(TabSLS[[#Headers],[:1]:[:37]],COLUMN()-COLUMN(TabSLS[[#Headers],[:1]])+1),2,3))</f>
        <v>4.3478260869565216E-2</v>
      </c>
      <c r="AK17" s="39">
        <f>Grunddaten[[#This Row],[Sitze im Hauptorgan]]/_xlfn.NUMBERVALUE(MID(INDEX(TabSLS[[#Headers],[:1]:[:37]],COLUMN()-COLUMN(TabSLS[[#Headers],[:1]])+1),2,3))</f>
        <v>0.04</v>
      </c>
      <c r="AL17" s="39">
        <f>Grunddaten[[#This Row],[Sitze im Hauptorgan]]/_xlfn.NUMBERVALUE(MID(INDEX(TabSLS[[#Headers],[:1]:[:37]],COLUMN()-COLUMN(TabSLS[[#Headers],[:1]])+1),2,3))</f>
        <v>3.7037037037037035E-2</v>
      </c>
      <c r="AM17" s="39">
        <f>Grunddaten[[#This Row],[Sitze im Hauptorgan]]/_xlfn.NUMBERVALUE(MID(INDEX(TabSLS[[#Headers],[:1]:[:37]],COLUMN()-COLUMN(TabSLS[[#Headers],[:1]])+1),2,3))</f>
        <v>3.4482758620689655E-2</v>
      </c>
      <c r="AN17" s="39">
        <f>Grunddaten[[#This Row],[Sitze im Hauptorgan]]/_xlfn.NUMBERVALUE(MID(INDEX(TabSLS[[#Headers],[:1]:[:37]],COLUMN()-COLUMN(TabSLS[[#Headers],[:1]])+1),2,3))</f>
        <v>3.2258064516129031E-2</v>
      </c>
      <c r="AO17" s="39">
        <f>Grunddaten[[#This Row],[Sitze im Hauptorgan]]/_xlfn.NUMBERVALUE(MID(INDEX(TabSLS[[#Headers],[:1]:[:37]],COLUMN()-COLUMN(TabSLS[[#Headers],[:1]])+1),2,3))</f>
        <v>3.0303030303030304E-2</v>
      </c>
      <c r="AP17" s="39">
        <f>Grunddaten[[#This Row],[Sitze im Hauptorgan]]/_xlfn.NUMBERVALUE(MID(INDEX(TabSLS[[#Headers],[:1]:[:37]],COLUMN()-COLUMN(TabSLS[[#Headers],[:1]])+1),2,3))</f>
        <v>2.8571428571428571E-2</v>
      </c>
      <c r="AQ17" s="40">
        <f>Grunddaten[[#This Row],[Sitze im Hauptorgan]]/_xlfn.NUMBERVALUE(MID(INDEX(TabSLS[[#Headers],[:1]:[:37]],COLUMN()-COLUMN(TabSLS[[#Headers],[:1]])+1),2,3))</f>
        <v>2.7027027027027029E-2</v>
      </c>
      <c r="AR17" s="41">
        <f>_xlfn.RANK.EQ(TabSLS[[#This Row],[:1]],TabSLS[[:1]:[:37]],0)</f>
        <v>35</v>
      </c>
      <c r="AS17" s="42">
        <f>_xlfn.RANK.EQ(TabSLS[[#This Row],[:3]],TabSLS[[:1]:[:37]],0)</f>
        <v>89</v>
      </c>
      <c r="AT17" s="42">
        <f>_xlfn.RANK.EQ(TabSLS[[#This Row],[:5]],TabSLS[[:1]:[:37]],0)</f>
        <v>116</v>
      </c>
      <c r="AU17" s="42">
        <f>_xlfn.RANK.EQ(TabSLS[[#This Row],[:7]],TabSLS[[:1]:[:37]],0)</f>
        <v>132</v>
      </c>
      <c r="AV17" s="42">
        <f>_xlfn.RANK.EQ(TabSLS[[#This Row],[:9]],TabSLS[[:1]:[:37]],0)</f>
        <v>148</v>
      </c>
      <c r="AW17" s="42">
        <f>_xlfn.RANK.EQ(TabSLS[[#This Row],[:11]],TabSLS[[:1]:[:37]],0)</f>
        <v>161</v>
      </c>
      <c r="AX17" s="42">
        <f>_xlfn.RANK.EQ(TabSLS[[#This Row],[:13]],TabSLS[[:1]:[:37]],0)</f>
        <v>173</v>
      </c>
      <c r="AY17" s="42">
        <f>_xlfn.RANK.EQ(TabSLS[[#This Row],[:15]],TabSLS[[:1]:[:37]],0)</f>
        <v>182</v>
      </c>
      <c r="AZ17" s="42">
        <f>_xlfn.RANK.EQ(TabSLS[[#This Row],[:17]],TabSLS[[:1]:[:37]],0)</f>
        <v>191</v>
      </c>
      <c r="BA17" s="42">
        <f>_xlfn.RANK.EQ(TabSLS[[#This Row],[:19]],TabSLS[[:1]:[:37]],0)</f>
        <v>200</v>
      </c>
      <c r="BB17" s="42">
        <f>_xlfn.RANK.EQ(TabSLS[[#This Row],[:21]],TabSLS[[:1]:[:37]],0)</f>
        <v>201</v>
      </c>
      <c r="BC17" s="42">
        <f>_xlfn.RANK.EQ(TabSLS[[#This Row],[:23]],TabSLS[[:1]:[:37]],0)</f>
        <v>202</v>
      </c>
      <c r="BD17" s="42">
        <f>_xlfn.RANK.EQ(TabSLS[[#This Row],[:25]],TabSLS[[:1]:[:37]],0)</f>
        <v>203</v>
      </c>
      <c r="BE17" s="42">
        <f>_xlfn.RANK.EQ(TabSLS[[#This Row],[:27]],TabSLS[[:1]:[:37]],0)</f>
        <v>204</v>
      </c>
      <c r="BF17" s="42">
        <f>_xlfn.RANK.EQ(TabSLS[[#This Row],[:29]],TabSLS[[:1]:[:37]],0)</f>
        <v>205</v>
      </c>
      <c r="BG17" s="42">
        <f>_xlfn.RANK.EQ(TabSLS[[#This Row],[:31]],TabSLS[[:1]:[:37]],0)</f>
        <v>206</v>
      </c>
      <c r="BH17" s="42">
        <f>_xlfn.RANK.EQ(TabSLS[[#This Row],[:33]],TabSLS[[:1]:[:37]],0)</f>
        <v>207</v>
      </c>
      <c r="BI17" s="42">
        <f>_xlfn.RANK.EQ(TabSLS[[#This Row],[:35]],TabSLS[[:1]:[:37]],0)</f>
        <v>208</v>
      </c>
      <c r="BJ17" s="43">
        <f>_xlfn.RANK.EQ(TabSLS[[#This Row],[:37]],TabSLS[[:1]:[:37]],0)</f>
        <v>209</v>
      </c>
      <c r="BK17" s="44" t="str">
        <f>IF(TabSLS[[#This Row],[R1]]&lt;=Sitze_Ausschuss,IF(TabSLS[[#This Row],[R1]]+COUNTIF(TabSLS[[R1]:[R37]],TabSLS[[#This Row],[R1]])-1&lt;=Sitze_Ausschuss,"SITZ","PATT"),"")</f>
        <v/>
      </c>
      <c r="BL17" s="45" t="str">
        <f>IF(TabSLS[[#This Row],[R3]]&lt;=Sitze_Ausschuss,IF(TabSLS[[#This Row],[R3]]+COUNTIF(TabSLS[[R1]:[R37]],TabSLS[[#This Row],[R3]])-1&lt;=Sitze_Ausschuss,"SITZ","PATT"),"")</f>
        <v/>
      </c>
      <c r="BM17" s="45" t="str">
        <f>IF(TabSLS[[#This Row],[R5]]&lt;=Sitze_Ausschuss,IF(TabSLS[[#This Row],[R5]]+COUNTIF(TabSLS[[R1]:[R37]],TabSLS[[#This Row],[R5]])-1&lt;=Sitze_Ausschuss,"SITZ","PATT"),"")</f>
        <v/>
      </c>
      <c r="BN17" s="45" t="str">
        <f>IF(TabSLS[[#This Row],[R7]]&lt;=Sitze_Ausschuss,IF(TabSLS[[#This Row],[R7]]+COUNTIF(TabSLS[[R1]:[R37]],TabSLS[[#This Row],[R7]])-1&lt;=Sitze_Ausschuss,"SITZ","PATT"),"")</f>
        <v/>
      </c>
      <c r="BO17" s="45" t="str">
        <f>IF(TabSLS[[#This Row],[R9]]&lt;=Sitze_Ausschuss,IF(TabSLS[[#This Row],[R9]]+COUNTIF(TabSLS[[R1]:[R37]],TabSLS[[#This Row],[R9]])-1&lt;=Sitze_Ausschuss,"SITZ","PATT"),"")</f>
        <v/>
      </c>
      <c r="BP17" s="45" t="str">
        <f>IF(TabSLS[[#This Row],[R11]]&lt;=Sitze_Ausschuss,IF(TabSLS[[#This Row],[R11]]+COUNTIF(TabSLS[[R1]:[R37]],TabSLS[[#This Row],[R11]])-1&lt;=Sitze_Ausschuss,"SITZ","PATT"),"")</f>
        <v/>
      </c>
      <c r="BQ17" s="45" t="str">
        <f>IF(TabSLS[[#This Row],[R13]]&lt;=Sitze_Ausschuss,IF(TabSLS[[#This Row],[R13]]+COUNTIF(TabSLS[[R1]:[R37]],TabSLS[[#This Row],[R13]])-1&lt;=Sitze_Ausschuss,"SITZ","PATT"),"")</f>
        <v/>
      </c>
      <c r="BR17" s="45" t="str">
        <f>IF(TabSLS[[#This Row],[R15]]&lt;=Sitze_Ausschuss,IF(TabSLS[[#This Row],[R15]]+COUNTIF(TabSLS[[R1]:[R37]],TabSLS[[#This Row],[R15]])-1&lt;=Sitze_Ausschuss,"SITZ","PATT"),"")</f>
        <v/>
      </c>
      <c r="BS17" s="45" t="str">
        <f>IF(TabSLS[[#This Row],[R17]]&lt;=Sitze_Ausschuss,IF(TabSLS[[#This Row],[R17]]+COUNTIF(TabSLS[[R1]:[R37]],TabSLS[[#This Row],[R17]])-1&lt;=Sitze_Ausschuss,"SITZ","PATT"),"")</f>
        <v/>
      </c>
      <c r="BT17" s="45" t="str">
        <f>IF(TabSLS[[#This Row],[R19]]&lt;=Sitze_Ausschuss,IF(TabSLS[[#This Row],[R19]]+COUNTIF(TabSLS[[R1]:[R37]],TabSLS[[#This Row],[R19]])-1&lt;=Sitze_Ausschuss,"SITZ","PATT"),"")</f>
        <v/>
      </c>
      <c r="BU17" s="45" t="str">
        <f>IF(TabSLS[[#This Row],[R21]]&lt;=Sitze_Ausschuss,IF(TabSLS[[#This Row],[R21]]+COUNTIF(TabSLS[[R1]:[R37]],TabSLS[[#This Row],[R21]])-1&lt;=Sitze_Ausschuss,"SITZ","PATT"),"")</f>
        <v/>
      </c>
      <c r="BV17" s="45" t="str">
        <f>IF(TabSLS[[#This Row],[R23]]&lt;=Sitze_Ausschuss,IF(TabSLS[[#This Row],[R23]]+COUNTIF(TabSLS[[R1]:[R37]],TabSLS[[#This Row],[R23]])-1&lt;=Sitze_Ausschuss,"SITZ","PATT"),"")</f>
        <v/>
      </c>
      <c r="BW17" s="45" t="str">
        <f>IF(TabSLS[[#This Row],[R25]]&lt;=Sitze_Ausschuss,IF(TabSLS[[#This Row],[R25]]+COUNTIF(TabSLS[[R1]:[R37]],TabSLS[[#This Row],[R25]])-1&lt;=Sitze_Ausschuss,"SITZ","PATT"),"")</f>
        <v/>
      </c>
      <c r="BX17" s="45" t="str">
        <f>IF(TabSLS[[#This Row],[R27]]&lt;=Sitze_Ausschuss,IF(TabSLS[[#This Row],[R27]]+COUNTIF(TabSLS[[R1]:[R37]],TabSLS[[#This Row],[R27]])-1&lt;=Sitze_Ausschuss,"SITZ","PATT"),"")</f>
        <v/>
      </c>
      <c r="BY17" s="45" t="str">
        <f>IF(TabSLS[[#This Row],[R29]]&lt;=Sitze_Ausschuss,IF(TabSLS[[#This Row],[R29]]+COUNTIF(TabSLS[[R1]:[R37]],TabSLS[[#This Row],[R29]])-1&lt;=Sitze_Ausschuss,"SITZ","PATT"),"")</f>
        <v/>
      </c>
      <c r="BZ17" s="45" t="str">
        <f>IF(TabSLS[[#This Row],[R31]]&lt;=Sitze_Ausschuss,IF(TabSLS[[#This Row],[R31]]+COUNTIF(TabSLS[[R1]:[R37]],TabSLS[[#This Row],[R31]])-1&lt;=Sitze_Ausschuss,"SITZ","PATT"),"")</f>
        <v/>
      </c>
      <c r="CA17" s="45" t="str">
        <f>IF(TabSLS[[#This Row],[R33]]&lt;=Sitze_Ausschuss,IF(TabSLS[[#This Row],[R33]]+COUNTIF(TabSLS[[R1]:[R37]],TabSLS[[#This Row],[R33]])-1&lt;=Sitze_Ausschuss,"SITZ","PATT"),"")</f>
        <v/>
      </c>
      <c r="CB17" s="45" t="str">
        <f>IF(TabSLS[[#This Row],[R35]]&lt;=Sitze_Ausschuss,IF(TabSLS[[#This Row],[R35]]+COUNTIF(TabSLS[[R1]:[R37]],TabSLS[[#This Row],[R35]])-1&lt;=Sitze_Ausschuss,"SITZ","PATT"),"")</f>
        <v/>
      </c>
      <c r="CC17" s="46" t="str">
        <f>IF(TabSLS[[#This Row],[R37]]&lt;=Sitze_Ausschuss,IF(TabSLS[[#This Row],[R37]]+COUNTIF(TabSLS[[R1]:[R37]],TabSLS[[#This Row],[R37]])-1&lt;=Sitze_Ausschuss,"SITZ","PATT"),"")</f>
        <v/>
      </c>
      <c r="CD17" s="47" t="b">
        <f>COUNTIF(TabSLS[[#This Row],[SP1]:[SP37]],"PATT")&gt;0</f>
        <v>0</v>
      </c>
      <c r="CE17" s="33">
        <f>IF(TabSLS[[#This Row],[Patt?]],(Sitze_Ausschuss-SUM(TabSLS[Sitze]))/TabSLS[[#Totals],[Patt?]],0)</f>
        <v>0</v>
      </c>
      <c r="CF17" s="48">
        <f>TabSLS[[#This Row],[Patt?]]*IF(Pattaufloesung="Stimmen",TabPatt[[#This Row],[Stimmen]],0)*1</f>
        <v>0</v>
      </c>
      <c r="CG17" s="49" t="b">
        <f>_xlfn.RANK.EQ(TabSLS[[#This Row],[Stimmen Gelost]],TabSLS[Stimmen Gelost],0)&lt;=(Sitze_Ausschuss-SUM(TabSLS[Sitze]))</f>
        <v>0</v>
      </c>
      <c r="CH17" s="50" t="b">
        <f>OR(TabSLS[[#This Row],[Sitze]]&lt;ROUNDDOWN(Grunddaten[[#This Row],[Proporzgenaue Zahl Ausschuss]],0),TabSLS[[#This Row],[Sitze]]+(TabSLS[[#This Row],[Patt?]]*1)&gt;ROUNDUP(Grunddaten[[#This Row],[Proporzgenaue Zahl Ausschuss]],0))</f>
        <v>0</v>
      </c>
      <c r="CI17" s="3"/>
      <c r="CJ17" s="36">
        <f>COUNTIF(TabDH[[#This Row],[SP1]:[SP19]],"SITZ")</f>
        <v>0</v>
      </c>
      <c r="CK17" s="37">
        <f>IF(TabDH[[#This Row],[Patt]],IF(Pattaufloesung="Los-Chance",TabDH[[#This Row],[Los Chance]],TabDH[[#This Row],[Pattgewinn]]+0),0)</f>
        <v>0</v>
      </c>
      <c r="CL17" s="38">
        <f>Grunddaten[[#This Row],[Sitze im Hauptorgan]]/_xlfn.NUMBERVALUE(MID(INDEX(TabDH[[#Headers],[:1]:[:19]],COLUMN()-COLUMN(TabDH[[#Headers],[:1]])+1),2,3))</f>
        <v>1</v>
      </c>
      <c r="CM17" s="39">
        <f>Grunddaten[[#This Row],[Sitze im Hauptorgan]]/_xlfn.NUMBERVALUE(MID(INDEX(TabDH[[#Headers],[:1]:[:19]],COLUMN()-COLUMN(TabDH[[#Headers],[:1]])+1),2,3))</f>
        <v>0.5</v>
      </c>
      <c r="CN17" s="39">
        <f>Grunddaten[[#This Row],[Sitze im Hauptorgan]]/_xlfn.NUMBERVALUE(MID(INDEX(TabDH[[#Headers],[:1]:[:19]],COLUMN()-COLUMN(TabDH[[#Headers],[:1]])+1),2,3))</f>
        <v>0.33333333333333331</v>
      </c>
      <c r="CO17" s="39">
        <f>Grunddaten[[#This Row],[Sitze im Hauptorgan]]/_xlfn.NUMBERVALUE(MID(INDEX(TabDH[[#Headers],[:1]:[:19]],COLUMN()-COLUMN(TabDH[[#Headers],[:1]])+1),2,3))</f>
        <v>0.25</v>
      </c>
      <c r="CP17" s="39">
        <f>Grunddaten[[#This Row],[Sitze im Hauptorgan]]/_xlfn.NUMBERVALUE(MID(INDEX(TabDH[[#Headers],[:1]:[:19]],COLUMN()-COLUMN(TabDH[[#Headers],[:1]])+1),2,3))</f>
        <v>0.2</v>
      </c>
      <c r="CQ17" s="39">
        <f>Grunddaten[[#This Row],[Sitze im Hauptorgan]]/_xlfn.NUMBERVALUE(MID(INDEX(TabDH[[#Headers],[:1]:[:19]],COLUMN()-COLUMN(TabDH[[#Headers],[:1]])+1),2,3))</f>
        <v>0.16666666666666666</v>
      </c>
      <c r="CR17" s="39">
        <f>Grunddaten[[#This Row],[Sitze im Hauptorgan]]/_xlfn.NUMBERVALUE(MID(INDEX(TabDH[[#Headers],[:1]:[:19]],COLUMN()-COLUMN(TabDH[[#Headers],[:1]])+1),2,3))</f>
        <v>0.14285714285714285</v>
      </c>
      <c r="CS17" s="39">
        <f>Grunddaten[[#This Row],[Sitze im Hauptorgan]]/_xlfn.NUMBERVALUE(MID(INDEX(TabDH[[#Headers],[:1]:[:19]],COLUMN()-COLUMN(TabDH[[#Headers],[:1]])+1),2,3))</f>
        <v>0.125</v>
      </c>
      <c r="CT17" s="39">
        <f>Grunddaten[[#This Row],[Sitze im Hauptorgan]]/_xlfn.NUMBERVALUE(MID(INDEX(TabDH[[#Headers],[:1]:[:19]],COLUMN()-COLUMN(TabDH[[#Headers],[:1]])+1),2,3))</f>
        <v>0.1111111111111111</v>
      </c>
      <c r="CU17" s="39">
        <f>Grunddaten[[#This Row],[Sitze im Hauptorgan]]/_xlfn.NUMBERVALUE(MID(INDEX(TabDH[[#Headers],[:1]:[:19]],COLUMN()-COLUMN(TabDH[[#Headers],[:1]])+1),2,3))</f>
        <v>0.1</v>
      </c>
      <c r="CV17" s="39">
        <f>Grunddaten[[#This Row],[Sitze im Hauptorgan]]/_xlfn.NUMBERVALUE(MID(INDEX(TabDH[[#Headers],[:1]:[:19]],COLUMN()-COLUMN(TabDH[[#Headers],[:1]])+1),2,3))</f>
        <v>9.0909090909090912E-2</v>
      </c>
      <c r="CW17" s="39">
        <f>Grunddaten[[#This Row],[Sitze im Hauptorgan]]/_xlfn.NUMBERVALUE(MID(INDEX(TabDH[[#Headers],[:1]:[:19]],COLUMN()-COLUMN(TabDH[[#Headers],[:1]])+1),2,3))</f>
        <v>8.3333333333333329E-2</v>
      </c>
      <c r="CX17" s="39">
        <f>Grunddaten[[#This Row],[Sitze im Hauptorgan]]/_xlfn.NUMBERVALUE(MID(INDEX(TabDH[[#Headers],[:1]:[:19]],COLUMN()-COLUMN(TabDH[[#Headers],[:1]])+1),2,3))</f>
        <v>7.6923076923076927E-2</v>
      </c>
      <c r="CY17" s="39">
        <f>Grunddaten[[#This Row],[Sitze im Hauptorgan]]/_xlfn.NUMBERVALUE(MID(INDEX(TabDH[[#Headers],[:1]:[:19]],COLUMN()-COLUMN(TabDH[[#Headers],[:1]])+1),2,3))</f>
        <v>7.1428571428571425E-2</v>
      </c>
      <c r="CZ17" s="39">
        <f>Grunddaten[[#This Row],[Sitze im Hauptorgan]]/_xlfn.NUMBERVALUE(MID(INDEX(TabDH[[#Headers],[:1]:[:19]],COLUMN()-COLUMN(TabDH[[#Headers],[:1]])+1),2,3))</f>
        <v>6.6666666666666666E-2</v>
      </c>
      <c r="DA17" s="39">
        <f>Grunddaten[[#This Row],[Sitze im Hauptorgan]]/_xlfn.NUMBERVALUE(MID(INDEX(TabDH[[#Headers],[:1]:[:19]],COLUMN()-COLUMN(TabDH[[#Headers],[:1]])+1),2,3))</f>
        <v>6.25E-2</v>
      </c>
      <c r="DB17" s="39">
        <f>Grunddaten[[#This Row],[Sitze im Hauptorgan]]/_xlfn.NUMBERVALUE(MID(INDEX(TabDH[[#Headers],[:1]:[:19]],COLUMN()-COLUMN(TabDH[[#Headers],[:1]])+1),2,3))</f>
        <v>5.8823529411764705E-2</v>
      </c>
      <c r="DC17" s="39">
        <f>Grunddaten[[#This Row],[Sitze im Hauptorgan]]/_xlfn.NUMBERVALUE(MID(INDEX(TabDH[[#Headers],[:1]:[:19]],COLUMN()-COLUMN(TabDH[[#Headers],[:1]])+1),2,3))</f>
        <v>5.5555555555555552E-2</v>
      </c>
      <c r="DD17" s="40">
        <f>Grunddaten[[#This Row],[Sitze im Hauptorgan]]/_xlfn.NUMBERVALUE(MID(INDEX(TabDH[[#Headers],[:1]:[:19]],COLUMN()-COLUMN(TabDH[[#Headers],[:1]])+1),2,3))</f>
        <v>5.2631578947368418E-2</v>
      </c>
      <c r="DE17" s="41">
        <f>_xlfn.RANK.EQ(TabDH[[#This Row],[:1]],TabDH[[:1]:[:19]],0)</f>
        <v>60</v>
      </c>
      <c r="DF17" s="42">
        <f>_xlfn.RANK.EQ(TabDH[[#This Row],[:2]],TabDH[[:1]:[:19]],0)</f>
        <v>98</v>
      </c>
      <c r="DG17" s="42">
        <f>_xlfn.RANK.EQ(TabDH[[#This Row],[:3]],TabDH[[:1]:[:19]],0)</f>
        <v>118</v>
      </c>
      <c r="DH17" s="42">
        <f>_xlfn.RANK.EQ(TabDH[[#This Row],[:4]],TabDH[[:1]:[:19]],0)</f>
        <v>134</v>
      </c>
      <c r="DI17" s="42">
        <f>_xlfn.RANK.EQ(TabDH[[#This Row],[:5]],TabDH[[:1]:[:19]],0)</f>
        <v>150</v>
      </c>
      <c r="DJ17" s="42">
        <f>_xlfn.RANK.EQ(TabDH[[#This Row],[:6]],TabDH[[:1]:[:19]],0)</f>
        <v>162</v>
      </c>
      <c r="DK17" s="42">
        <f>_xlfn.RANK.EQ(TabDH[[#This Row],[:7]],TabDH[[:1]:[:19]],0)</f>
        <v>173</v>
      </c>
      <c r="DL17" s="42">
        <f>_xlfn.RANK.EQ(TabDH[[#This Row],[:8]],TabDH[[:1]:[:19]],0)</f>
        <v>182</v>
      </c>
      <c r="DM17" s="42">
        <f>_xlfn.RANK.EQ(TabDH[[#This Row],[:9]],TabDH[[:1]:[:19]],0)</f>
        <v>191</v>
      </c>
      <c r="DN17" s="42">
        <f>_xlfn.RANK.EQ(TabDH[[#This Row],[:10]],TabDH[[:1]:[:19]],0)</f>
        <v>200</v>
      </c>
      <c r="DO17" s="42">
        <f>_xlfn.RANK.EQ(TabDH[[#This Row],[:11]],TabDH[[:1]:[:19]],0)</f>
        <v>201</v>
      </c>
      <c r="DP17" s="42">
        <f>_xlfn.RANK.EQ(TabDH[[#This Row],[:12]],TabDH[[:1]:[:19]],0)</f>
        <v>202</v>
      </c>
      <c r="DQ17" s="42">
        <f>_xlfn.RANK.EQ(TabDH[[#This Row],[:13]],TabDH[[:1]:[:19]],0)</f>
        <v>203</v>
      </c>
      <c r="DR17" s="42">
        <f>_xlfn.RANK.EQ(TabDH[[#This Row],[:14]],TabDH[[:1]:[:19]],0)</f>
        <v>204</v>
      </c>
      <c r="DS17" s="42">
        <f>_xlfn.RANK.EQ(TabDH[[#This Row],[:15]],TabDH[[:1]:[:19]],0)</f>
        <v>205</v>
      </c>
      <c r="DT17" s="42">
        <f>_xlfn.RANK.EQ(TabDH[[#This Row],[:16]],TabDH[[:1]:[:19]],0)</f>
        <v>206</v>
      </c>
      <c r="DU17" s="42">
        <f>_xlfn.RANK.EQ(TabDH[[#This Row],[:17]],TabDH[[:1]:[:19]],0)</f>
        <v>207</v>
      </c>
      <c r="DV17" s="42">
        <f>_xlfn.RANK.EQ(TabDH[[#This Row],[:18]],TabDH[[:1]:[:19]],0)</f>
        <v>208</v>
      </c>
      <c r="DW17" s="43">
        <f>_xlfn.RANK.EQ(TabDH[[#This Row],[:19]],TabDH[[:1]:[:19]],0)</f>
        <v>209</v>
      </c>
      <c r="DX17" s="44" t="str">
        <f>IF(TabDH[[#This Row],[R1]]&lt;=Sitze_Ausschuss,IF(TabDH[[#This Row],[R1]]+COUNTIF(TabDH[[R1]:[R19]],TabDH[[#This Row],[R1]])-1&lt;=Sitze_Ausschuss,"SITZ","PATT"),"")</f>
        <v/>
      </c>
      <c r="DY17" s="45" t="str">
        <f>IF(TabDH[[#This Row],[R2]]&lt;=Sitze_Ausschuss,IF(TabDH[[#This Row],[R2]]+COUNTIF(TabDH[[R1]:[R19]],TabDH[[#This Row],[R2]])-1&lt;=Sitze_Ausschuss,"SITZ","PATT"),"")</f>
        <v/>
      </c>
      <c r="DZ17" s="45" t="str">
        <f>IF(TabDH[[#This Row],[R3]]&lt;=Sitze_Ausschuss,IF(TabDH[[#This Row],[R3]]+COUNTIF(TabDH[[R1]:[R19]],TabDH[[#This Row],[R3]])-1&lt;=Sitze_Ausschuss,"SITZ","PATT"),"")</f>
        <v/>
      </c>
      <c r="EA17" s="45" t="str">
        <f>IF(TabDH[[#This Row],[R4]]&lt;=Sitze_Ausschuss,IF(TabDH[[#This Row],[R4]]+COUNTIF(TabDH[[R1]:[R19]],TabDH[[#This Row],[R4]])-1&lt;=Sitze_Ausschuss,"SITZ","PATT"),"")</f>
        <v/>
      </c>
      <c r="EB17" s="45" t="str">
        <f>IF(TabDH[[#This Row],[R5]]&lt;=Sitze_Ausschuss,IF(TabDH[[#This Row],[R5]]+COUNTIF(TabDH[[R1]:[R19]],TabDH[[#This Row],[R5]])-1&lt;=Sitze_Ausschuss,"SITZ","PATT"),"")</f>
        <v/>
      </c>
      <c r="EC17" s="45" t="str">
        <f>IF(TabDH[[#This Row],[R6]]&lt;=Sitze_Ausschuss,IF(TabDH[[#This Row],[R6]]+COUNTIF(TabDH[[R1]:[R19]],TabDH[[#This Row],[R6]])-1&lt;=Sitze_Ausschuss,"SITZ","PATT"),"")</f>
        <v/>
      </c>
      <c r="ED17" s="45" t="str">
        <f>IF(TabDH[[#This Row],[R7]]&lt;=Sitze_Ausschuss,IF(TabDH[[#This Row],[R7]]+COUNTIF(TabDH[[R1]:[R19]],TabDH[[#This Row],[R7]])-1&lt;=Sitze_Ausschuss,"SITZ","PATT"),"")</f>
        <v/>
      </c>
      <c r="EE17" s="45" t="str">
        <f>IF(TabDH[[#This Row],[R8]]&lt;=Sitze_Ausschuss,IF(TabDH[[#This Row],[R8]]+COUNTIF(TabDH[[R1]:[R19]],TabDH[[#This Row],[R8]])-1&lt;=Sitze_Ausschuss,"SITZ","PATT"),"")</f>
        <v/>
      </c>
      <c r="EF17" s="45" t="str">
        <f>IF(TabDH[[#This Row],[R9]]&lt;=Sitze_Ausschuss,IF(TabDH[[#This Row],[R9]]+COUNTIF(TabDH[[R1]:[R19]],TabDH[[#This Row],[R9]])-1&lt;=Sitze_Ausschuss,"SITZ","PATT"),"")</f>
        <v/>
      </c>
      <c r="EG17" s="45" t="str">
        <f>IF(TabDH[[#This Row],[R10]]&lt;=Sitze_Ausschuss,IF(TabDH[[#This Row],[R10]]+COUNTIF(TabDH[[R1]:[R19]],TabDH[[#This Row],[R10]])-1&lt;=Sitze_Ausschuss,"SITZ","PATT"),"")</f>
        <v/>
      </c>
      <c r="EH17" s="45" t="str">
        <f>IF(TabDH[[#This Row],[R11]]&lt;=Sitze_Ausschuss,IF(TabDH[[#This Row],[R11]]+COUNTIF(TabDH[[R1]:[R19]],TabDH[[#This Row],[R11]])-1&lt;=Sitze_Ausschuss,"SITZ","PATT"),"")</f>
        <v/>
      </c>
      <c r="EI17" s="45" t="str">
        <f>IF(TabDH[[#This Row],[R12]]&lt;=Sitze_Ausschuss,IF(TabDH[[#This Row],[R12]]+COUNTIF(TabDH[[R1]:[R19]],TabDH[[#This Row],[R12]])-1&lt;=Sitze_Ausschuss,"SITZ","PATT"),"")</f>
        <v/>
      </c>
      <c r="EJ17" s="45" t="str">
        <f>IF(TabDH[[#This Row],[R13]]&lt;=Sitze_Ausschuss,IF(TabDH[[#This Row],[R13]]+COUNTIF(TabDH[[R1]:[R19]],TabDH[[#This Row],[R13]])-1&lt;=Sitze_Ausschuss,"SITZ","PATT"),"")</f>
        <v/>
      </c>
      <c r="EK17" s="45" t="str">
        <f>IF(TabDH[[#This Row],[R14]]&lt;=Sitze_Ausschuss,IF(TabDH[[#This Row],[R14]]+COUNTIF(TabDH[[R1]:[R19]],TabDH[[#This Row],[R14]])-1&lt;=Sitze_Ausschuss,"SITZ","PATT"),"")</f>
        <v/>
      </c>
      <c r="EL17" s="45" t="str">
        <f>IF(TabDH[[#This Row],[R15]]&lt;=Sitze_Ausschuss,IF(TabDH[[#This Row],[R15]]+COUNTIF(TabDH[[R1]:[R19]],TabDH[[#This Row],[R15]])-1&lt;=Sitze_Ausschuss,"SITZ","PATT"),"")</f>
        <v/>
      </c>
      <c r="EM17" s="45" t="str">
        <f>IF(TabDH[[#This Row],[R16]]&lt;=Sitze_Ausschuss,IF(TabDH[[#This Row],[R16]]+COUNTIF(TabDH[[R1]:[R19]],TabDH[[#This Row],[R16]])-1&lt;=Sitze_Ausschuss,"SITZ","PATT"),"")</f>
        <v/>
      </c>
      <c r="EN17" s="45" t="str">
        <f>IF(TabDH[[#This Row],[R17]]&lt;=Sitze_Ausschuss,IF(TabDH[[#This Row],[R17]]+COUNTIF(TabDH[[R1]:[R19]],TabDH[[#This Row],[R17]])-1&lt;=Sitze_Ausschuss,"SITZ","PATT"),"")</f>
        <v/>
      </c>
      <c r="EO17" s="45" t="str">
        <f>IF(TabDH[[#This Row],[R18]]&lt;=Sitze_Ausschuss,IF(TabDH[[#This Row],[R18]]+COUNTIF(TabDH[[R1]:[R19]],TabDH[[#This Row],[R18]])-1&lt;=Sitze_Ausschuss,"SITZ","PATT"),"")</f>
        <v/>
      </c>
      <c r="EP17" s="45" t="str">
        <f>IF(TabDH[[#This Row],[R19]]&lt;=Sitze_Ausschuss,IF(TabDH[[#This Row],[R19]]+COUNTIF(TabDH[[R1]:[R19]],TabDH[[#This Row],[R19]])-1&lt;=Sitze_Ausschuss,"SITZ","PATT"),"")</f>
        <v/>
      </c>
      <c r="EQ17" s="47" t="b">
        <f>COUNTIF(TabDH[[#This Row],[SP1]:[SP19]],"PATT")&gt;0</f>
        <v>0</v>
      </c>
      <c r="ER17" s="33">
        <f>IF(TabDH[[#This Row],[Patt]],(Sitze_Ausschuss-SUM(TabDH[Sitze]))/TabDH[[#Totals],[Patt]],0)</f>
        <v>0</v>
      </c>
      <c r="ES17" s="48">
        <f>TabDH[[#This Row],[Patt]]*IF(Pattaufloesung="Stimmen",TabPatt[[#This Row],[Stimmen]],0)*1</f>
        <v>0</v>
      </c>
      <c r="ET17" s="49" t="b">
        <f>_xlfn.RANK.EQ(TabDH[[#This Row],[Stimmen/Gelost]],TabDH[Stimmen/Gelost],0)&lt;=(Sitze_Ausschuss-SUM(TabDH[Sitze]))</f>
        <v>0</v>
      </c>
      <c r="EU17" s="50" t="b">
        <f>OR(TabDH[[#This Row],[Sitze]]&lt;ROUNDDOWN(Grunddaten[[#This Row],[Proporzgenaue Zahl Ausschuss]],0),TabDH[[#This Row],[Sitze]]+(TabDH[[#This Row],[Patt]]*1)&gt;ROUNDUP(Grunddaten[[#This Row],[Proporzgenaue Zahl Ausschuss]],0))</f>
        <v>0</v>
      </c>
      <c r="EV17" s="3"/>
      <c r="EW17" s="51" t="str">
        <f>Grunddaten[[#This Row],[Partei/Wählergruppe]]&amp;""</f>
        <v>Tierschutzpartei</v>
      </c>
      <c r="EX17" s="144">
        <v>182</v>
      </c>
      <c r="EY17" s="3"/>
      <c r="EZ17" t="b">
        <f>IF(AND(Grunddaten[[#This Row],[Sitze im Hauptorgan]]&gt;0,ISBLANK(Grunddaten[[#This Row],[AG?]])),ROW())</f>
        <v>0</v>
      </c>
      <c r="FA17">
        <f t="shared" si="1"/>
        <v>0</v>
      </c>
      <c r="FB17" t="str">
        <f>Grunddaten[[#This Row],[Partei/Wählergruppe]]</f>
        <v>Tierschutzpartei</v>
      </c>
      <c r="FC17">
        <f>Grunddaten[[#This Row],[Sitze im Hauptorgan]]</f>
        <v>1</v>
      </c>
      <c r="FD17">
        <f>TabPatt[[#This Row],[Stimmen]]</f>
        <v>182</v>
      </c>
      <c r="FE17" t="str">
        <f>IF(Grunddaten[[#This Row],[AG?]]=FE$6,MID(Grunddaten[[#This Row],[Partei/Wählergruppe]],1,3),"")</f>
        <v>Tie</v>
      </c>
      <c r="FF17" t="str">
        <f>IF(Grunddaten[[#This Row],[AG?]]=FF$6,MID(Grunddaten[[#This Row],[Partei/Wählergruppe]],1,3),"")</f>
        <v/>
      </c>
      <c r="FG17" t="str">
        <f>IF(Grunddaten[[#This Row],[AG?]]=FG$6,MID(Grunddaten[[#This Row],[Partei/Wählergruppe]],1,3),"")</f>
        <v/>
      </c>
      <c r="FH17" t="str">
        <f>IF(Grunddaten[[#This Row],[AG?]]=FH$6,MID(Grunddaten[[#This Row],[Partei/Wählergruppe]],1,3),"")</f>
        <v/>
      </c>
      <c r="FI17" s="154">
        <f>TabHN[[#This Row],[Sitze]]+TabHN[[#This Row],[Patt Auflösung]]</f>
        <v>0</v>
      </c>
      <c r="FJ17" s="154">
        <f>TabSLS[[#This Row],[Sitze]]+TabSLS[[#This Row],[Patt Auflösung]]</f>
        <v>0</v>
      </c>
      <c r="FK17" s="154">
        <f>TabDH[[#This Row],[Sitze]]+TabDH[[#This Row],[Patt Auflösung]]</f>
        <v>0</v>
      </c>
      <c r="FL17" s="154">
        <f t="shared" si="2"/>
        <v>0</v>
      </c>
      <c r="FM17" s="154">
        <f t="shared" si="3"/>
        <v>0</v>
      </c>
      <c r="FN17" t="str">
        <f t="shared" si="4"/>
        <v>K.SITZ</v>
      </c>
    </row>
    <row r="18" spans="1:174" ht="15.75" thickBot="1" x14ac:dyDescent="0.3">
      <c r="A18" s="3"/>
      <c r="B18" s="56"/>
      <c r="C18" s="71"/>
      <c r="D18" s="71"/>
      <c r="E18" s="93">
        <f>Grunddaten[[#This Row],[Sitze im Hauptorgan]]/Grunddaten[[#Totals],[Sitze im Hauptorgan]]*Sitze_Ausschuss</f>
        <v>0</v>
      </c>
      <c r="F18" s="110" t="b">
        <f>OR(Grunddaten[[#This Row],[Proporzgenaue Zahl Ausschuss]]&gt;=1,Grunddaten[[#This Row],[Sitze im Hauptorgan]]&gt;Sitze_Hauptorgan/(1+Sitze_Ausschuss))</f>
        <v>0</v>
      </c>
      <c r="G18" s="159">
        <f>IF(ROUNDDOWN(Grunddaten[[#This Row],[Proporzgenaue Zahl Ausschuss]],0)&lt;&gt;ROUNDUP(Grunddaten[[#This Row],[Proporzgenaue Zahl Ausschuss]],0), ROUNDDOWN(Grunddaten[[#This Row],[Proporzgenaue Zahl Ausschuss]],0)&amp;" oder "&amp;ROUNDUP(Grunddaten[[#This Row],[Proporzgenaue Zahl Ausschuss]],0),ROUND(Grunddaten[[#This Row],[Proporzgenaue Zahl Ausschuss]],0))</f>
        <v>0</v>
      </c>
      <c r="H18" s="52" t="str">
        <f t="shared" si="0"/>
        <v>OK</v>
      </c>
      <c r="I18" s="52" t="str">
        <f>IF(TabSLS[[#This Row],[QK verletzt]],"NOK","OK")</f>
        <v>OK</v>
      </c>
      <c r="J18" s="53" t="str">
        <f>IF(TabDH[[#This Row],[QK verletzt]],"NOK","OK")</f>
        <v>OK</v>
      </c>
      <c r="K18" s="3"/>
      <c r="L18" s="92">
        <f>TabHN[[#This Row],[S ganz]]+IF(NOT(TabHN[[#This Row],[Patt]]),TabHN[[#This Row],[Restsitz]],0)</f>
        <v>0</v>
      </c>
      <c r="M18" s="29">
        <f>IF(TabHN[[#This Row],[Patt]],IF(Pattaufloesung="Los-Chance",TabHN[[#This Row],[Los Chance]],TabHN[[#This Row],[Pattgewinn]]+0),0)</f>
        <v>0</v>
      </c>
      <c r="N18" s="79">
        <f>INT(Grunddaten[[#This Row],[Proporzgenaue Zahl Ausschuss]])</f>
        <v>0</v>
      </c>
      <c r="O18" s="80">
        <f>ROUND(Grunddaten[[#This Row],[Proporzgenaue Zahl Ausschuss]]-TabHN[[#This Row],[S ganz]],4)</f>
        <v>0</v>
      </c>
      <c r="P18" s="81">
        <f>_xlfn.RANK.EQ(TabHN[[#This Row],[S Rest]],TabHN[S Rest],0)</f>
        <v>10</v>
      </c>
      <c r="Q18" s="82">
        <f>IF(TabHN[[#This Row],[Rng Rest]]&lt;=TabHN[[#Totals],[S Rest]],1,0)</f>
        <v>0</v>
      </c>
      <c r="R18" s="82" t="b">
        <f>AND(TabHN[[#This Row],[Restsitz]]=1,(COUNTIF(TabHN[Rng Rest],TabHN[[#This Row],[Rng Rest]])+TabHN[[#This Row],[Rng Rest]]-1)&gt;TabHN[[#Totals],[S Rest]])</f>
        <v>0</v>
      </c>
      <c r="S18" s="83">
        <f>IF(TabHN[[#This Row],[Patt]],(Sitze_Ausschuss-SUM(TabHN[Sitze]))/TabHN[[#Totals],[Patt]],0)</f>
        <v>0</v>
      </c>
      <c r="T18" s="84">
        <f>TabHN[[#This Row],[Patt]]*IF(Pattaufloesung="Stimmen",TabPatt[[#This Row],[Stimmen]],0)*1</f>
        <v>0</v>
      </c>
      <c r="U18" s="53" t="b">
        <f>_xlfn.RANK.EQ(TabHN[[#This Row],[Stimmen/Gelost]],TabHN[Stimmen/Gelost],0)&lt;=(Sitze_Ausschuss-SUM(TabHN[Sitze]))</f>
        <v>1</v>
      </c>
      <c r="V18" s="3"/>
      <c r="W18" s="36">
        <f>COUNTIF(TabSLS[[#This Row],[SP1]:[SP37]],"SITZ")</f>
        <v>0</v>
      </c>
      <c r="X18" s="37">
        <f>IF(TabSLS[[#This Row],[Patt?]],IF(Pattaufloesung="Los-Chance",TabSLS[[#This Row],[Los Chance]],TabSLS[[#This Row],[Pattgewinn]]+0),0)</f>
        <v>0</v>
      </c>
      <c r="Y18" s="38">
        <f>Grunddaten[[#This Row],[Sitze im Hauptorgan]]/_xlfn.NUMBERVALUE(MID(INDEX(TabSLS[[#Headers],[:1]:[:37]],COLUMN()-COLUMN(TabSLS[[#Headers],[:1]])+1),2,3))</f>
        <v>0</v>
      </c>
      <c r="Z18" s="39">
        <f>Grunddaten[[#This Row],[Sitze im Hauptorgan]]/_xlfn.NUMBERVALUE(MID(INDEX(TabSLS[[#Headers],[:1]:[:37]],COLUMN()-COLUMN(TabSLS[[#Headers],[:1]])+1),2,3))</f>
        <v>0</v>
      </c>
      <c r="AA18" s="39">
        <f>Grunddaten[[#This Row],[Sitze im Hauptorgan]]/_xlfn.NUMBERVALUE(MID(INDEX(TabSLS[[#Headers],[:1]:[:37]],COLUMN()-COLUMN(TabSLS[[#Headers],[:1]])+1),2,3))</f>
        <v>0</v>
      </c>
      <c r="AB18" s="39">
        <f>Grunddaten[[#This Row],[Sitze im Hauptorgan]]/_xlfn.NUMBERVALUE(MID(INDEX(TabSLS[[#Headers],[:1]:[:37]],COLUMN()-COLUMN(TabSLS[[#Headers],[:1]])+1),2,3))</f>
        <v>0</v>
      </c>
      <c r="AC18" s="39">
        <f>Grunddaten[[#This Row],[Sitze im Hauptorgan]]/_xlfn.NUMBERVALUE(MID(INDEX(TabSLS[[#Headers],[:1]:[:37]],COLUMN()-COLUMN(TabSLS[[#Headers],[:1]])+1),2,3))</f>
        <v>0</v>
      </c>
      <c r="AD18" s="39">
        <f>Grunddaten[[#This Row],[Sitze im Hauptorgan]]/_xlfn.NUMBERVALUE(MID(INDEX(TabSLS[[#Headers],[:1]:[:37]],COLUMN()-COLUMN(TabSLS[[#Headers],[:1]])+1),2,3))</f>
        <v>0</v>
      </c>
      <c r="AE18" s="39">
        <f>Grunddaten[[#This Row],[Sitze im Hauptorgan]]/_xlfn.NUMBERVALUE(MID(INDEX(TabSLS[[#Headers],[:1]:[:37]],COLUMN()-COLUMN(TabSLS[[#Headers],[:1]])+1),2,3))</f>
        <v>0</v>
      </c>
      <c r="AF18" s="39">
        <f>Grunddaten[[#This Row],[Sitze im Hauptorgan]]/_xlfn.NUMBERVALUE(MID(INDEX(TabSLS[[#Headers],[:1]:[:37]],COLUMN()-COLUMN(TabSLS[[#Headers],[:1]])+1),2,3))</f>
        <v>0</v>
      </c>
      <c r="AG18" s="39">
        <f>Grunddaten[[#This Row],[Sitze im Hauptorgan]]/_xlfn.NUMBERVALUE(MID(INDEX(TabSLS[[#Headers],[:1]:[:37]],COLUMN()-COLUMN(TabSLS[[#Headers],[:1]])+1),2,3))</f>
        <v>0</v>
      </c>
      <c r="AH18" s="39">
        <f>Grunddaten[[#This Row],[Sitze im Hauptorgan]]/_xlfn.NUMBERVALUE(MID(INDEX(TabSLS[[#Headers],[:1]:[:37]],COLUMN()-COLUMN(TabSLS[[#Headers],[:1]])+1),2,3))</f>
        <v>0</v>
      </c>
      <c r="AI18" s="39">
        <f>Grunddaten[[#This Row],[Sitze im Hauptorgan]]/_xlfn.NUMBERVALUE(MID(INDEX(TabSLS[[#Headers],[:1]:[:37]],COLUMN()-COLUMN(TabSLS[[#Headers],[:1]])+1),2,3))</f>
        <v>0</v>
      </c>
      <c r="AJ18" s="39">
        <f>Grunddaten[[#This Row],[Sitze im Hauptorgan]]/_xlfn.NUMBERVALUE(MID(INDEX(TabSLS[[#Headers],[:1]:[:37]],COLUMN()-COLUMN(TabSLS[[#Headers],[:1]])+1),2,3))</f>
        <v>0</v>
      </c>
      <c r="AK18" s="39">
        <f>Grunddaten[[#This Row],[Sitze im Hauptorgan]]/_xlfn.NUMBERVALUE(MID(INDEX(TabSLS[[#Headers],[:1]:[:37]],COLUMN()-COLUMN(TabSLS[[#Headers],[:1]])+1),2,3))</f>
        <v>0</v>
      </c>
      <c r="AL18" s="39">
        <f>Grunddaten[[#This Row],[Sitze im Hauptorgan]]/_xlfn.NUMBERVALUE(MID(INDEX(TabSLS[[#Headers],[:1]:[:37]],COLUMN()-COLUMN(TabSLS[[#Headers],[:1]])+1),2,3))</f>
        <v>0</v>
      </c>
      <c r="AM18" s="39">
        <f>Grunddaten[[#This Row],[Sitze im Hauptorgan]]/_xlfn.NUMBERVALUE(MID(INDEX(TabSLS[[#Headers],[:1]:[:37]],COLUMN()-COLUMN(TabSLS[[#Headers],[:1]])+1),2,3))</f>
        <v>0</v>
      </c>
      <c r="AN18" s="39">
        <f>Grunddaten[[#This Row],[Sitze im Hauptorgan]]/_xlfn.NUMBERVALUE(MID(INDEX(TabSLS[[#Headers],[:1]:[:37]],COLUMN()-COLUMN(TabSLS[[#Headers],[:1]])+1),2,3))</f>
        <v>0</v>
      </c>
      <c r="AO18" s="39">
        <f>Grunddaten[[#This Row],[Sitze im Hauptorgan]]/_xlfn.NUMBERVALUE(MID(INDEX(TabSLS[[#Headers],[:1]:[:37]],COLUMN()-COLUMN(TabSLS[[#Headers],[:1]])+1),2,3))</f>
        <v>0</v>
      </c>
      <c r="AP18" s="39">
        <f>Grunddaten[[#This Row],[Sitze im Hauptorgan]]/_xlfn.NUMBERVALUE(MID(INDEX(TabSLS[[#Headers],[:1]:[:37]],COLUMN()-COLUMN(TabSLS[[#Headers],[:1]])+1),2,3))</f>
        <v>0</v>
      </c>
      <c r="AQ18" s="40">
        <f>Grunddaten[[#This Row],[Sitze im Hauptorgan]]/_xlfn.NUMBERVALUE(MID(INDEX(TabSLS[[#Headers],[:1]:[:37]],COLUMN()-COLUMN(TabSLS[[#Headers],[:1]])+1),2,3))</f>
        <v>0</v>
      </c>
      <c r="AR18" s="41">
        <f>_xlfn.RANK.EQ(TabSLS[[#This Row],[:1]],TabSLS[[:1]:[:37]],0)</f>
        <v>210</v>
      </c>
      <c r="AS18" s="42">
        <f>_xlfn.RANK.EQ(TabSLS[[#This Row],[:3]],TabSLS[[:1]:[:37]],0)</f>
        <v>210</v>
      </c>
      <c r="AT18" s="42">
        <f>_xlfn.RANK.EQ(TabSLS[[#This Row],[:5]],TabSLS[[:1]:[:37]],0)</f>
        <v>210</v>
      </c>
      <c r="AU18" s="42">
        <f>_xlfn.RANK.EQ(TabSLS[[#This Row],[:7]],TabSLS[[:1]:[:37]],0)</f>
        <v>210</v>
      </c>
      <c r="AV18" s="42">
        <f>_xlfn.RANK.EQ(TabSLS[[#This Row],[:9]],TabSLS[[:1]:[:37]],0)</f>
        <v>210</v>
      </c>
      <c r="AW18" s="42">
        <f>_xlfn.RANK.EQ(TabSLS[[#This Row],[:11]],TabSLS[[:1]:[:37]],0)</f>
        <v>210</v>
      </c>
      <c r="AX18" s="42">
        <f>_xlfn.RANK.EQ(TabSLS[[#This Row],[:13]],TabSLS[[:1]:[:37]],0)</f>
        <v>210</v>
      </c>
      <c r="AY18" s="42">
        <f>_xlfn.RANK.EQ(TabSLS[[#This Row],[:15]],TabSLS[[:1]:[:37]],0)</f>
        <v>210</v>
      </c>
      <c r="AZ18" s="42">
        <f>_xlfn.RANK.EQ(TabSLS[[#This Row],[:17]],TabSLS[[:1]:[:37]],0)</f>
        <v>210</v>
      </c>
      <c r="BA18" s="42">
        <f>_xlfn.RANK.EQ(TabSLS[[#This Row],[:19]],TabSLS[[:1]:[:37]],0)</f>
        <v>210</v>
      </c>
      <c r="BB18" s="42">
        <f>_xlfn.RANK.EQ(TabSLS[[#This Row],[:21]],TabSLS[[:1]:[:37]],0)</f>
        <v>210</v>
      </c>
      <c r="BC18" s="42">
        <f>_xlfn.RANK.EQ(TabSLS[[#This Row],[:23]],TabSLS[[:1]:[:37]],0)</f>
        <v>210</v>
      </c>
      <c r="BD18" s="42">
        <f>_xlfn.RANK.EQ(TabSLS[[#This Row],[:25]],TabSLS[[:1]:[:37]],0)</f>
        <v>210</v>
      </c>
      <c r="BE18" s="42">
        <f>_xlfn.RANK.EQ(TabSLS[[#This Row],[:27]],TabSLS[[:1]:[:37]],0)</f>
        <v>210</v>
      </c>
      <c r="BF18" s="42">
        <f>_xlfn.RANK.EQ(TabSLS[[#This Row],[:29]],TabSLS[[:1]:[:37]],0)</f>
        <v>210</v>
      </c>
      <c r="BG18" s="42">
        <f>_xlfn.RANK.EQ(TabSLS[[#This Row],[:31]],TabSLS[[:1]:[:37]],0)</f>
        <v>210</v>
      </c>
      <c r="BH18" s="42">
        <f>_xlfn.RANK.EQ(TabSLS[[#This Row],[:33]],TabSLS[[:1]:[:37]],0)</f>
        <v>210</v>
      </c>
      <c r="BI18" s="42">
        <f>_xlfn.RANK.EQ(TabSLS[[#This Row],[:35]],TabSLS[[:1]:[:37]],0)</f>
        <v>210</v>
      </c>
      <c r="BJ18" s="43">
        <f>_xlfn.RANK.EQ(TabSLS[[#This Row],[:37]],TabSLS[[:1]:[:37]],0)</f>
        <v>210</v>
      </c>
      <c r="BK18" s="44" t="str">
        <f>IF(TabSLS[[#This Row],[R1]]&lt;=Sitze_Ausschuss,IF(TabSLS[[#This Row],[R1]]+COUNTIF(TabSLS[[R1]:[R37]],TabSLS[[#This Row],[R1]])-1&lt;=Sitze_Ausschuss,"SITZ","PATT"),"")</f>
        <v/>
      </c>
      <c r="BL18" s="45" t="str">
        <f>IF(TabSLS[[#This Row],[R3]]&lt;=Sitze_Ausschuss,IF(TabSLS[[#This Row],[R3]]+COUNTIF(TabSLS[[R1]:[R37]],TabSLS[[#This Row],[R3]])-1&lt;=Sitze_Ausschuss,"SITZ","PATT"),"")</f>
        <v/>
      </c>
      <c r="BM18" s="45" t="str">
        <f>IF(TabSLS[[#This Row],[R5]]&lt;=Sitze_Ausschuss,IF(TabSLS[[#This Row],[R5]]+COUNTIF(TabSLS[[R1]:[R37]],TabSLS[[#This Row],[R5]])-1&lt;=Sitze_Ausschuss,"SITZ","PATT"),"")</f>
        <v/>
      </c>
      <c r="BN18" s="45" t="str">
        <f>IF(TabSLS[[#This Row],[R7]]&lt;=Sitze_Ausschuss,IF(TabSLS[[#This Row],[R7]]+COUNTIF(TabSLS[[R1]:[R37]],TabSLS[[#This Row],[R7]])-1&lt;=Sitze_Ausschuss,"SITZ","PATT"),"")</f>
        <v/>
      </c>
      <c r="BO18" s="45" t="str">
        <f>IF(TabSLS[[#This Row],[R9]]&lt;=Sitze_Ausschuss,IF(TabSLS[[#This Row],[R9]]+COUNTIF(TabSLS[[R1]:[R37]],TabSLS[[#This Row],[R9]])-1&lt;=Sitze_Ausschuss,"SITZ","PATT"),"")</f>
        <v/>
      </c>
      <c r="BP18" s="45" t="str">
        <f>IF(TabSLS[[#This Row],[R11]]&lt;=Sitze_Ausschuss,IF(TabSLS[[#This Row],[R11]]+COUNTIF(TabSLS[[R1]:[R37]],TabSLS[[#This Row],[R11]])-1&lt;=Sitze_Ausschuss,"SITZ","PATT"),"")</f>
        <v/>
      </c>
      <c r="BQ18" s="45" t="str">
        <f>IF(TabSLS[[#This Row],[R13]]&lt;=Sitze_Ausschuss,IF(TabSLS[[#This Row],[R13]]+COUNTIF(TabSLS[[R1]:[R37]],TabSLS[[#This Row],[R13]])-1&lt;=Sitze_Ausschuss,"SITZ","PATT"),"")</f>
        <v/>
      </c>
      <c r="BR18" s="45" t="str">
        <f>IF(TabSLS[[#This Row],[R15]]&lt;=Sitze_Ausschuss,IF(TabSLS[[#This Row],[R15]]+COUNTIF(TabSLS[[R1]:[R37]],TabSLS[[#This Row],[R15]])-1&lt;=Sitze_Ausschuss,"SITZ","PATT"),"")</f>
        <v/>
      </c>
      <c r="BS18" s="45" t="str">
        <f>IF(TabSLS[[#This Row],[R17]]&lt;=Sitze_Ausschuss,IF(TabSLS[[#This Row],[R17]]+COUNTIF(TabSLS[[R1]:[R37]],TabSLS[[#This Row],[R17]])-1&lt;=Sitze_Ausschuss,"SITZ","PATT"),"")</f>
        <v/>
      </c>
      <c r="BT18" s="45" t="str">
        <f>IF(TabSLS[[#This Row],[R19]]&lt;=Sitze_Ausschuss,IF(TabSLS[[#This Row],[R19]]+COUNTIF(TabSLS[[R1]:[R37]],TabSLS[[#This Row],[R19]])-1&lt;=Sitze_Ausschuss,"SITZ","PATT"),"")</f>
        <v/>
      </c>
      <c r="BU18" s="45" t="str">
        <f>IF(TabSLS[[#This Row],[R21]]&lt;=Sitze_Ausschuss,IF(TabSLS[[#This Row],[R21]]+COUNTIF(TabSLS[[R1]:[R37]],TabSLS[[#This Row],[R21]])-1&lt;=Sitze_Ausschuss,"SITZ","PATT"),"")</f>
        <v/>
      </c>
      <c r="BV18" s="45" t="str">
        <f>IF(TabSLS[[#This Row],[R23]]&lt;=Sitze_Ausschuss,IF(TabSLS[[#This Row],[R23]]+COUNTIF(TabSLS[[R1]:[R37]],TabSLS[[#This Row],[R23]])-1&lt;=Sitze_Ausschuss,"SITZ","PATT"),"")</f>
        <v/>
      </c>
      <c r="BW18" s="45" t="str">
        <f>IF(TabSLS[[#This Row],[R25]]&lt;=Sitze_Ausschuss,IF(TabSLS[[#This Row],[R25]]+COUNTIF(TabSLS[[R1]:[R37]],TabSLS[[#This Row],[R25]])-1&lt;=Sitze_Ausschuss,"SITZ","PATT"),"")</f>
        <v/>
      </c>
      <c r="BX18" s="45" t="str">
        <f>IF(TabSLS[[#This Row],[R27]]&lt;=Sitze_Ausschuss,IF(TabSLS[[#This Row],[R27]]+COUNTIF(TabSLS[[R1]:[R37]],TabSLS[[#This Row],[R27]])-1&lt;=Sitze_Ausschuss,"SITZ","PATT"),"")</f>
        <v/>
      </c>
      <c r="BY18" s="45" t="str">
        <f>IF(TabSLS[[#This Row],[R29]]&lt;=Sitze_Ausschuss,IF(TabSLS[[#This Row],[R29]]+COUNTIF(TabSLS[[R1]:[R37]],TabSLS[[#This Row],[R29]])-1&lt;=Sitze_Ausschuss,"SITZ","PATT"),"")</f>
        <v/>
      </c>
      <c r="BZ18" s="45" t="str">
        <f>IF(TabSLS[[#This Row],[R31]]&lt;=Sitze_Ausschuss,IF(TabSLS[[#This Row],[R31]]+COUNTIF(TabSLS[[R1]:[R37]],TabSLS[[#This Row],[R31]])-1&lt;=Sitze_Ausschuss,"SITZ","PATT"),"")</f>
        <v/>
      </c>
      <c r="CA18" s="45" t="str">
        <f>IF(TabSLS[[#This Row],[R33]]&lt;=Sitze_Ausschuss,IF(TabSLS[[#This Row],[R33]]+COUNTIF(TabSLS[[R1]:[R37]],TabSLS[[#This Row],[R33]])-1&lt;=Sitze_Ausschuss,"SITZ","PATT"),"")</f>
        <v/>
      </c>
      <c r="CB18" s="45" t="str">
        <f>IF(TabSLS[[#This Row],[R35]]&lt;=Sitze_Ausschuss,IF(TabSLS[[#This Row],[R35]]+COUNTIF(TabSLS[[R1]:[R37]],TabSLS[[#This Row],[R35]])-1&lt;=Sitze_Ausschuss,"SITZ","PATT"),"")</f>
        <v/>
      </c>
      <c r="CC18" s="46" t="str">
        <f>IF(TabSLS[[#This Row],[R37]]&lt;=Sitze_Ausschuss,IF(TabSLS[[#This Row],[R37]]+COUNTIF(TabSLS[[R1]:[R37]],TabSLS[[#This Row],[R37]])-1&lt;=Sitze_Ausschuss,"SITZ","PATT"),"")</f>
        <v/>
      </c>
      <c r="CD18" s="47" t="b">
        <f>COUNTIF(TabSLS[[#This Row],[SP1]:[SP37]],"PATT")&gt;0</f>
        <v>0</v>
      </c>
      <c r="CE18" s="33">
        <f>IF(TabSLS[[#This Row],[Patt?]],(Sitze_Ausschuss-SUM(TabSLS[Sitze]))/TabSLS[[#Totals],[Patt?]],0)</f>
        <v>0</v>
      </c>
      <c r="CF18" s="48">
        <f>TabSLS[[#This Row],[Patt?]]*IF(Pattaufloesung="Stimmen",TabPatt[[#This Row],[Stimmen]],0)*1</f>
        <v>0</v>
      </c>
      <c r="CG18" s="49" t="b">
        <f>_xlfn.RANK.EQ(TabSLS[[#This Row],[Stimmen Gelost]],TabSLS[Stimmen Gelost],0)&lt;=(Sitze_Ausschuss-SUM(TabSLS[Sitze]))</f>
        <v>0</v>
      </c>
      <c r="CH18" s="78" t="b">
        <f>OR(TabSLS[[#This Row],[Sitze]]&lt;ROUNDDOWN(Grunddaten[[#This Row],[Proporzgenaue Zahl Ausschuss]],0),TabSLS[[#This Row],[Sitze]]+(TabSLS[[#This Row],[Patt?]]*1)&gt;ROUNDUP(Grunddaten[[#This Row],[Proporzgenaue Zahl Ausschuss]],0))</f>
        <v>0</v>
      </c>
      <c r="CI18" s="3"/>
      <c r="CJ18" s="36">
        <f>COUNTIF(TabDH[[#This Row],[SP1]:[SP19]],"SITZ")</f>
        <v>0</v>
      </c>
      <c r="CK18" s="37">
        <f>IF(TabDH[[#This Row],[Patt]],IF(Pattaufloesung="Los-Chance",TabDH[[#This Row],[Los Chance]],TabDH[[#This Row],[Pattgewinn]]+0),0)</f>
        <v>0</v>
      </c>
      <c r="CL18" s="38">
        <f>Grunddaten[[#This Row],[Sitze im Hauptorgan]]/_xlfn.NUMBERVALUE(MID(INDEX(TabDH[[#Headers],[:1]:[:19]],COLUMN()-COLUMN(TabDH[[#Headers],[:1]])+1),2,3))</f>
        <v>0</v>
      </c>
      <c r="CM18" s="39">
        <f>Grunddaten[[#This Row],[Sitze im Hauptorgan]]/_xlfn.NUMBERVALUE(MID(INDEX(TabDH[[#Headers],[:1]:[:19]],COLUMN()-COLUMN(TabDH[[#Headers],[:1]])+1),2,3))</f>
        <v>0</v>
      </c>
      <c r="CN18" s="39">
        <f>Grunddaten[[#This Row],[Sitze im Hauptorgan]]/_xlfn.NUMBERVALUE(MID(INDEX(TabDH[[#Headers],[:1]:[:19]],COLUMN()-COLUMN(TabDH[[#Headers],[:1]])+1),2,3))</f>
        <v>0</v>
      </c>
      <c r="CO18" s="39">
        <f>Grunddaten[[#This Row],[Sitze im Hauptorgan]]/_xlfn.NUMBERVALUE(MID(INDEX(TabDH[[#Headers],[:1]:[:19]],COLUMN()-COLUMN(TabDH[[#Headers],[:1]])+1),2,3))</f>
        <v>0</v>
      </c>
      <c r="CP18" s="39">
        <f>Grunddaten[[#This Row],[Sitze im Hauptorgan]]/_xlfn.NUMBERVALUE(MID(INDEX(TabDH[[#Headers],[:1]:[:19]],COLUMN()-COLUMN(TabDH[[#Headers],[:1]])+1),2,3))</f>
        <v>0</v>
      </c>
      <c r="CQ18" s="39">
        <f>Grunddaten[[#This Row],[Sitze im Hauptorgan]]/_xlfn.NUMBERVALUE(MID(INDEX(TabDH[[#Headers],[:1]:[:19]],COLUMN()-COLUMN(TabDH[[#Headers],[:1]])+1),2,3))</f>
        <v>0</v>
      </c>
      <c r="CR18" s="39">
        <f>Grunddaten[[#This Row],[Sitze im Hauptorgan]]/_xlfn.NUMBERVALUE(MID(INDEX(TabDH[[#Headers],[:1]:[:19]],COLUMN()-COLUMN(TabDH[[#Headers],[:1]])+1),2,3))</f>
        <v>0</v>
      </c>
      <c r="CS18" s="39">
        <f>Grunddaten[[#This Row],[Sitze im Hauptorgan]]/_xlfn.NUMBERVALUE(MID(INDEX(TabDH[[#Headers],[:1]:[:19]],COLUMN()-COLUMN(TabDH[[#Headers],[:1]])+1),2,3))</f>
        <v>0</v>
      </c>
      <c r="CT18" s="39">
        <f>Grunddaten[[#This Row],[Sitze im Hauptorgan]]/_xlfn.NUMBERVALUE(MID(INDEX(TabDH[[#Headers],[:1]:[:19]],COLUMN()-COLUMN(TabDH[[#Headers],[:1]])+1),2,3))</f>
        <v>0</v>
      </c>
      <c r="CU18" s="39">
        <f>Grunddaten[[#This Row],[Sitze im Hauptorgan]]/_xlfn.NUMBERVALUE(MID(INDEX(TabDH[[#Headers],[:1]:[:19]],COLUMN()-COLUMN(TabDH[[#Headers],[:1]])+1),2,3))</f>
        <v>0</v>
      </c>
      <c r="CV18" s="39">
        <f>Grunddaten[[#This Row],[Sitze im Hauptorgan]]/_xlfn.NUMBERVALUE(MID(INDEX(TabDH[[#Headers],[:1]:[:19]],COLUMN()-COLUMN(TabDH[[#Headers],[:1]])+1),2,3))</f>
        <v>0</v>
      </c>
      <c r="CW18" s="39">
        <f>Grunddaten[[#This Row],[Sitze im Hauptorgan]]/_xlfn.NUMBERVALUE(MID(INDEX(TabDH[[#Headers],[:1]:[:19]],COLUMN()-COLUMN(TabDH[[#Headers],[:1]])+1),2,3))</f>
        <v>0</v>
      </c>
      <c r="CX18" s="39">
        <f>Grunddaten[[#This Row],[Sitze im Hauptorgan]]/_xlfn.NUMBERVALUE(MID(INDEX(TabDH[[#Headers],[:1]:[:19]],COLUMN()-COLUMN(TabDH[[#Headers],[:1]])+1),2,3))</f>
        <v>0</v>
      </c>
      <c r="CY18" s="39">
        <f>Grunddaten[[#This Row],[Sitze im Hauptorgan]]/_xlfn.NUMBERVALUE(MID(INDEX(TabDH[[#Headers],[:1]:[:19]],COLUMN()-COLUMN(TabDH[[#Headers],[:1]])+1),2,3))</f>
        <v>0</v>
      </c>
      <c r="CZ18" s="39">
        <f>Grunddaten[[#This Row],[Sitze im Hauptorgan]]/_xlfn.NUMBERVALUE(MID(INDEX(TabDH[[#Headers],[:1]:[:19]],COLUMN()-COLUMN(TabDH[[#Headers],[:1]])+1),2,3))</f>
        <v>0</v>
      </c>
      <c r="DA18" s="39">
        <f>Grunddaten[[#This Row],[Sitze im Hauptorgan]]/_xlfn.NUMBERVALUE(MID(INDEX(TabDH[[#Headers],[:1]:[:19]],COLUMN()-COLUMN(TabDH[[#Headers],[:1]])+1),2,3))</f>
        <v>0</v>
      </c>
      <c r="DB18" s="39">
        <f>Grunddaten[[#This Row],[Sitze im Hauptorgan]]/_xlfn.NUMBERVALUE(MID(INDEX(TabDH[[#Headers],[:1]:[:19]],COLUMN()-COLUMN(TabDH[[#Headers],[:1]])+1),2,3))</f>
        <v>0</v>
      </c>
      <c r="DC18" s="39">
        <f>Grunddaten[[#This Row],[Sitze im Hauptorgan]]/_xlfn.NUMBERVALUE(MID(INDEX(TabDH[[#Headers],[:1]:[:19]],COLUMN()-COLUMN(TabDH[[#Headers],[:1]])+1),2,3))</f>
        <v>0</v>
      </c>
      <c r="DD18" s="40">
        <f>Grunddaten[[#This Row],[Sitze im Hauptorgan]]/_xlfn.NUMBERVALUE(MID(INDEX(TabDH[[#Headers],[:1]:[:19]],COLUMN()-COLUMN(TabDH[[#Headers],[:1]])+1),2,3))</f>
        <v>0</v>
      </c>
      <c r="DE18" s="41">
        <f>_xlfn.RANK.EQ(TabDH[[#This Row],[:1]],TabDH[[:1]:[:19]],0)</f>
        <v>210</v>
      </c>
      <c r="DF18" s="42">
        <f>_xlfn.RANK.EQ(TabDH[[#This Row],[:2]],TabDH[[:1]:[:19]],0)</f>
        <v>210</v>
      </c>
      <c r="DG18" s="42">
        <f>_xlfn.RANK.EQ(TabDH[[#This Row],[:3]],TabDH[[:1]:[:19]],0)</f>
        <v>210</v>
      </c>
      <c r="DH18" s="42">
        <f>_xlfn.RANK.EQ(TabDH[[#This Row],[:4]],TabDH[[:1]:[:19]],0)</f>
        <v>210</v>
      </c>
      <c r="DI18" s="42">
        <f>_xlfn.RANK.EQ(TabDH[[#This Row],[:5]],TabDH[[:1]:[:19]],0)</f>
        <v>210</v>
      </c>
      <c r="DJ18" s="42">
        <f>_xlfn.RANK.EQ(TabDH[[#This Row],[:6]],TabDH[[:1]:[:19]],0)</f>
        <v>210</v>
      </c>
      <c r="DK18" s="42">
        <f>_xlfn.RANK.EQ(TabDH[[#This Row],[:7]],TabDH[[:1]:[:19]],0)</f>
        <v>210</v>
      </c>
      <c r="DL18" s="42">
        <f>_xlfn.RANK.EQ(TabDH[[#This Row],[:8]],TabDH[[:1]:[:19]],0)</f>
        <v>210</v>
      </c>
      <c r="DM18" s="42">
        <f>_xlfn.RANK.EQ(TabDH[[#This Row],[:9]],TabDH[[:1]:[:19]],0)</f>
        <v>210</v>
      </c>
      <c r="DN18" s="42">
        <f>_xlfn.RANK.EQ(TabDH[[#This Row],[:10]],TabDH[[:1]:[:19]],0)</f>
        <v>210</v>
      </c>
      <c r="DO18" s="42">
        <f>_xlfn.RANK.EQ(TabDH[[#This Row],[:11]],TabDH[[:1]:[:19]],0)</f>
        <v>210</v>
      </c>
      <c r="DP18" s="42">
        <f>_xlfn.RANK.EQ(TabDH[[#This Row],[:12]],TabDH[[:1]:[:19]],0)</f>
        <v>210</v>
      </c>
      <c r="DQ18" s="42">
        <f>_xlfn.RANK.EQ(TabDH[[#This Row],[:13]],TabDH[[:1]:[:19]],0)</f>
        <v>210</v>
      </c>
      <c r="DR18" s="42">
        <f>_xlfn.RANK.EQ(TabDH[[#This Row],[:14]],TabDH[[:1]:[:19]],0)</f>
        <v>210</v>
      </c>
      <c r="DS18" s="42">
        <f>_xlfn.RANK.EQ(TabDH[[#This Row],[:15]],TabDH[[:1]:[:19]],0)</f>
        <v>210</v>
      </c>
      <c r="DT18" s="42">
        <f>_xlfn.RANK.EQ(TabDH[[#This Row],[:16]],TabDH[[:1]:[:19]],0)</f>
        <v>210</v>
      </c>
      <c r="DU18" s="42">
        <f>_xlfn.RANK.EQ(TabDH[[#This Row],[:17]],TabDH[[:1]:[:19]],0)</f>
        <v>210</v>
      </c>
      <c r="DV18" s="42">
        <f>_xlfn.RANK.EQ(TabDH[[#This Row],[:18]],TabDH[[:1]:[:19]],0)</f>
        <v>210</v>
      </c>
      <c r="DW18" s="43">
        <f>_xlfn.RANK.EQ(TabDH[[#This Row],[:19]],TabDH[[:1]:[:19]],0)</f>
        <v>210</v>
      </c>
      <c r="DX18" s="44" t="str">
        <f>IF(TabDH[[#This Row],[R1]]&lt;=Sitze_Ausschuss,IF(TabDH[[#This Row],[R1]]+COUNTIF(TabDH[[R1]:[R19]],TabDH[[#This Row],[R1]])-1&lt;=Sitze_Ausschuss,"SITZ","PATT"),"")</f>
        <v/>
      </c>
      <c r="DY18" s="45" t="str">
        <f>IF(TabDH[[#This Row],[R2]]&lt;=Sitze_Ausschuss,IF(TabDH[[#This Row],[R2]]+COUNTIF(TabDH[[R1]:[R19]],TabDH[[#This Row],[R2]])-1&lt;=Sitze_Ausschuss,"SITZ","PATT"),"")</f>
        <v/>
      </c>
      <c r="DZ18" s="45" t="str">
        <f>IF(TabDH[[#This Row],[R3]]&lt;=Sitze_Ausschuss,IF(TabDH[[#This Row],[R3]]+COUNTIF(TabDH[[R1]:[R19]],TabDH[[#This Row],[R3]])-1&lt;=Sitze_Ausschuss,"SITZ","PATT"),"")</f>
        <v/>
      </c>
      <c r="EA18" s="45" t="str">
        <f>IF(TabDH[[#This Row],[R4]]&lt;=Sitze_Ausschuss,IF(TabDH[[#This Row],[R4]]+COUNTIF(TabDH[[R1]:[R19]],TabDH[[#This Row],[R4]])-1&lt;=Sitze_Ausschuss,"SITZ","PATT"),"")</f>
        <v/>
      </c>
      <c r="EB18" s="45" t="str">
        <f>IF(TabDH[[#This Row],[R5]]&lt;=Sitze_Ausschuss,IF(TabDH[[#This Row],[R5]]+COUNTIF(TabDH[[R1]:[R19]],TabDH[[#This Row],[R5]])-1&lt;=Sitze_Ausschuss,"SITZ","PATT"),"")</f>
        <v/>
      </c>
      <c r="EC18" s="45" t="str">
        <f>IF(TabDH[[#This Row],[R6]]&lt;=Sitze_Ausschuss,IF(TabDH[[#This Row],[R6]]+COUNTIF(TabDH[[R1]:[R19]],TabDH[[#This Row],[R6]])-1&lt;=Sitze_Ausschuss,"SITZ","PATT"),"")</f>
        <v/>
      </c>
      <c r="ED18" s="45" t="str">
        <f>IF(TabDH[[#This Row],[R7]]&lt;=Sitze_Ausschuss,IF(TabDH[[#This Row],[R7]]+COUNTIF(TabDH[[R1]:[R19]],TabDH[[#This Row],[R7]])-1&lt;=Sitze_Ausschuss,"SITZ","PATT"),"")</f>
        <v/>
      </c>
      <c r="EE18" s="45" t="str">
        <f>IF(TabDH[[#This Row],[R8]]&lt;=Sitze_Ausschuss,IF(TabDH[[#This Row],[R8]]+COUNTIF(TabDH[[R1]:[R19]],TabDH[[#This Row],[R8]])-1&lt;=Sitze_Ausschuss,"SITZ","PATT"),"")</f>
        <v/>
      </c>
      <c r="EF18" s="45" t="str">
        <f>IF(TabDH[[#This Row],[R9]]&lt;=Sitze_Ausschuss,IF(TabDH[[#This Row],[R9]]+COUNTIF(TabDH[[R1]:[R19]],TabDH[[#This Row],[R9]])-1&lt;=Sitze_Ausschuss,"SITZ","PATT"),"")</f>
        <v/>
      </c>
      <c r="EG18" s="45" t="str">
        <f>IF(TabDH[[#This Row],[R10]]&lt;=Sitze_Ausschuss,IF(TabDH[[#This Row],[R10]]+COUNTIF(TabDH[[R1]:[R19]],TabDH[[#This Row],[R10]])-1&lt;=Sitze_Ausschuss,"SITZ","PATT"),"")</f>
        <v/>
      </c>
      <c r="EH18" s="45" t="str">
        <f>IF(TabDH[[#This Row],[R11]]&lt;=Sitze_Ausschuss,IF(TabDH[[#This Row],[R11]]+COUNTIF(TabDH[[R1]:[R19]],TabDH[[#This Row],[R11]])-1&lt;=Sitze_Ausschuss,"SITZ","PATT"),"")</f>
        <v/>
      </c>
      <c r="EI18" s="45" t="str">
        <f>IF(TabDH[[#This Row],[R12]]&lt;=Sitze_Ausschuss,IF(TabDH[[#This Row],[R12]]+COUNTIF(TabDH[[R1]:[R19]],TabDH[[#This Row],[R12]])-1&lt;=Sitze_Ausschuss,"SITZ","PATT"),"")</f>
        <v/>
      </c>
      <c r="EJ18" s="45" t="str">
        <f>IF(TabDH[[#This Row],[R13]]&lt;=Sitze_Ausschuss,IF(TabDH[[#This Row],[R13]]+COUNTIF(TabDH[[R1]:[R19]],TabDH[[#This Row],[R13]])-1&lt;=Sitze_Ausschuss,"SITZ","PATT"),"")</f>
        <v/>
      </c>
      <c r="EK18" s="45" t="str">
        <f>IF(TabDH[[#This Row],[R14]]&lt;=Sitze_Ausschuss,IF(TabDH[[#This Row],[R14]]+COUNTIF(TabDH[[R1]:[R19]],TabDH[[#This Row],[R14]])-1&lt;=Sitze_Ausschuss,"SITZ","PATT"),"")</f>
        <v/>
      </c>
      <c r="EL18" s="45" t="str">
        <f>IF(TabDH[[#This Row],[R15]]&lt;=Sitze_Ausschuss,IF(TabDH[[#This Row],[R15]]+COUNTIF(TabDH[[R1]:[R19]],TabDH[[#This Row],[R15]])-1&lt;=Sitze_Ausschuss,"SITZ","PATT"),"")</f>
        <v/>
      </c>
      <c r="EM18" s="45" t="str">
        <f>IF(TabDH[[#This Row],[R16]]&lt;=Sitze_Ausschuss,IF(TabDH[[#This Row],[R16]]+COUNTIF(TabDH[[R1]:[R19]],TabDH[[#This Row],[R16]])-1&lt;=Sitze_Ausschuss,"SITZ","PATT"),"")</f>
        <v/>
      </c>
      <c r="EN18" s="45" t="str">
        <f>IF(TabDH[[#This Row],[R17]]&lt;=Sitze_Ausschuss,IF(TabDH[[#This Row],[R17]]+COUNTIF(TabDH[[R1]:[R19]],TabDH[[#This Row],[R17]])-1&lt;=Sitze_Ausschuss,"SITZ","PATT"),"")</f>
        <v/>
      </c>
      <c r="EO18" s="45" t="str">
        <f>IF(TabDH[[#This Row],[R18]]&lt;=Sitze_Ausschuss,IF(TabDH[[#This Row],[R18]]+COUNTIF(TabDH[[R1]:[R19]],TabDH[[#This Row],[R18]])-1&lt;=Sitze_Ausschuss,"SITZ","PATT"),"")</f>
        <v/>
      </c>
      <c r="EP18" s="45" t="str">
        <f>IF(TabDH[[#This Row],[R19]]&lt;=Sitze_Ausschuss,IF(TabDH[[#This Row],[R19]]+COUNTIF(TabDH[[R1]:[R19]],TabDH[[#This Row],[R19]])-1&lt;=Sitze_Ausschuss,"SITZ","PATT"),"")</f>
        <v/>
      </c>
      <c r="EQ18" s="47" t="b">
        <f>COUNTIF(TabDH[[#This Row],[SP1]:[SP19]],"PATT")&gt;0</f>
        <v>0</v>
      </c>
      <c r="ER18" s="33">
        <f>IF(TabDH[[#This Row],[Patt]],(Sitze_Ausschuss-SUM(TabDH[Sitze]))/TabDH[[#Totals],[Patt]],0)</f>
        <v>0</v>
      </c>
      <c r="ES18" s="48">
        <f>TabDH[[#This Row],[Patt]]*IF(Pattaufloesung="Stimmen",TabPatt[[#This Row],[Stimmen]],0)*1</f>
        <v>0</v>
      </c>
      <c r="ET18" s="49" t="b">
        <f>_xlfn.RANK.EQ(TabDH[[#This Row],[Stimmen/Gelost]],TabDH[Stimmen/Gelost],0)&lt;=(Sitze_Ausschuss-SUM(TabDH[Sitze]))</f>
        <v>0</v>
      </c>
      <c r="EU18" s="50" t="b">
        <f>OR(TabDH[[#This Row],[Sitze]]&lt;ROUNDDOWN(Grunddaten[[#This Row],[Proporzgenaue Zahl Ausschuss]],0),TabDH[[#This Row],[Sitze]]+(TabDH[[#This Row],[Patt]]*1)&gt;ROUNDUP(Grunddaten[[#This Row],[Proporzgenaue Zahl Ausschuss]],0))</f>
        <v>0</v>
      </c>
      <c r="EV18" s="3"/>
      <c r="EW18" s="51" t="str">
        <f>Grunddaten[[#This Row],[Partei/Wählergruppe]]&amp;""</f>
        <v/>
      </c>
      <c r="EX18" s="144">
        <v>0</v>
      </c>
      <c r="EY18" s="3"/>
      <c r="EZ18" t="b">
        <f>IF(AND(Grunddaten[[#This Row],[Sitze im Hauptorgan]]&gt;0,ISBLANK(Grunddaten[[#This Row],[AG?]])),ROW())</f>
        <v>0</v>
      </c>
      <c r="FA18">
        <f t="shared" si="1"/>
        <v>0</v>
      </c>
      <c r="FB18">
        <f>Grunddaten[[#This Row],[Partei/Wählergruppe]]</f>
        <v>0</v>
      </c>
      <c r="FC18">
        <f>Grunddaten[[#This Row],[Sitze im Hauptorgan]]</f>
        <v>0</v>
      </c>
      <c r="FD18">
        <f>TabPatt[[#This Row],[Stimmen]]</f>
        <v>0</v>
      </c>
      <c r="FE18" t="str">
        <f>IF(Grunddaten[[#This Row],[AG?]]=FE$6,MID(Grunddaten[[#This Row],[Partei/Wählergruppe]],1,3),"")</f>
        <v/>
      </c>
      <c r="FF18" t="str">
        <f>IF(Grunddaten[[#This Row],[AG?]]=FF$6,MID(Grunddaten[[#This Row],[Partei/Wählergruppe]],1,3),"")</f>
        <v/>
      </c>
      <c r="FG18" t="str">
        <f>IF(Grunddaten[[#This Row],[AG?]]=FG$6,MID(Grunddaten[[#This Row],[Partei/Wählergruppe]],1,3),"")</f>
        <v/>
      </c>
      <c r="FH18" t="str">
        <f>IF(Grunddaten[[#This Row],[AG?]]=FH$6,MID(Grunddaten[[#This Row],[Partei/Wählergruppe]],1,3),"")</f>
        <v/>
      </c>
      <c r="FI18" s="154">
        <f>TabHN[[#This Row],[Sitze]]+TabHN[[#This Row],[Patt Auflösung]]</f>
        <v>0</v>
      </c>
      <c r="FJ18" s="154">
        <f>TabSLS[[#This Row],[Sitze]]+TabSLS[[#This Row],[Patt Auflösung]]</f>
        <v>0</v>
      </c>
      <c r="FK18" s="154">
        <f>TabDH[[#This Row],[Sitze]]+TabDH[[#This Row],[Patt Auflösung]]</f>
        <v>0</v>
      </c>
      <c r="FL18" s="154">
        <f t="shared" si="2"/>
        <v>0</v>
      </c>
      <c r="FM18" s="154">
        <f t="shared" si="3"/>
        <v>0</v>
      </c>
      <c r="FN18" t="str">
        <f t="shared" si="4"/>
        <v>K.SITZ</v>
      </c>
    </row>
    <row r="19" spans="1:174" ht="15.75" thickBot="1" x14ac:dyDescent="0.3">
      <c r="A19" s="3"/>
      <c r="B19" s="56"/>
      <c r="C19" s="71"/>
      <c r="D19" s="71"/>
      <c r="E19" s="93">
        <f>Grunddaten[[#This Row],[Sitze im Hauptorgan]]/Grunddaten[[#Totals],[Sitze im Hauptorgan]]*Sitze_Ausschuss</f>
        <v>0</v>
      </c>
      <c r="F19" s="110" t="b">
        <f>OR(Grunddaten[[#This Row],[Proporzgenaue Zahl Ausschuss]]&gt;=1,Grunddaten[[#This Row],[Sitze im Hauptorgan]]&gt;Sitze_Hauptorgan/(1+Sitze_Ausschuss))</f>
        <v>0</v>
      </c>
      <c r="G19" s="159">
        <f>IF(ROUNDDOWN(Grunddaten[[#This Row],[Proporzgenaue Zahl Ausschuss]],0)&lt;&gt;ROUNDUP(Grunddaten[[#This Row],[Proporzgenaue Zahl Ausschuss]],0), ROUNDDOWN(Grunddaten[[#This Row],[Proporzgenaue Zahl Ausschuss]],0)&amp;" oder "&amp;ROUNDUP(Grunddaten[[#This Row],[Proporzgenaue Zahl Ausschuss]],0),ROUND(Grunddaten[[#This Row],[Proporzgenaue Zahl Ausschuss]],0))</f>
        <v>0</v>
      </c>
      <c r="H19" s="52" t="str">
        <f t="shared" si="0"/>
        <v>OK</v>
      </c>
      <c r="I19" s="52" t="str">
        <f>IF(TabSLS[[#This Row],[QK verletzt]],"NOK","OK")</f>
        <v>OK</v>
      </c>
      <c r="J19" s="53" t="str">
        <f>IF(TabDH[[#This Row],[QK verletzt]],"NOK","OK")</f>
        <v>OK</v>
      </c>
      <c r="K19" s="3"/>
      <c r="L19" s="92">
        <f>TabHN[[#This Row],[S ganz]]+IF(NOT(TabHN[[#This Row],[Patt]]),TabHN[[#This Row],[Restsitz]],0)</f>
        <v>0</v>
      </c>
      <c r="M19" s="29">
        <f>IF(TabHN[[#This Row],[Patt]],IF(Pattaufloesung="Los-Chance",TabHN[[#This Row],[Los Chance]],TabHN[[#This Row],[Pattgewinn]]+0),0)</f>
        <v>0</v>
      </c>
      <c r="N19" s="79">
        <f>INT(Grunddaten[[#This Row],[Proporzgenaue Zahl Ausschuss]])</f>
        <v>0</v>
      </c>
      <c r="O19" s="80">
        <f>ROUND(Grunddaten[[#This Row],[Proporzgenaue Zahl Ausschuss]]-TabHN[[#This Row],[S ganz]],4)</f>
        <v>0</v>
      </c>
      <c r="P19" s="81">
        <f>_xlfn.RANK.EQ(TabHN[[#This Row],[S Rest]],TabHN[S Rest],0)</f>
        <v>10</v>
      </c>
      <c r="Q19" s="82">
        <f>IF(TabHN[[#This Row],[Rng Rest]]&lt;=TabHN[[#Totals],[S Rest]],1,0)</f>
        <v>0</v>
      </c>
      <c r="R19" s="82" t="b">
        <f>AND(TabHN[[#This Row],[Restsitz]]=1,(COUNTIF(TabHN[Rng Rest],TabHN[[#This Row],[Rng Rest]])+TabHN[[#This Row],[Rng Rest]]-1)&gt;TabHN[[#Totals],[S Rest]])</f>
        <v>0</v>
      </c>
      <c r="S19" s="83">
        <f>IF(TabHN[[#This Row],[Patt]],(Sitze_Ausschuss-SUM(TabHN[Sitze]))/TabHN[[#Totals],[Patt]],0)</f>
        <v>0</v>
      </c>
      <c r="T19" s="84">
        <f>TabHN[[#This Row],[Patt]]*IF(Pattaufloesung="Stimmen",TabPatt[[#This Row],[Stimmen]],0)*1</f>
        <v>0</v>
      </c>
      <c r="U19" s="53" t="b">
        <f>_xlfn.RANK.EQ(TabHN[[#This Row],[Stimmen/Gelost]],TabHN[Stimmen/Gelost],0)&lt;=(Sitze_Ausschuss-SUM(TabHN[Sitze]))</f>
        <v>1</v>
      </c>
      <c r="V19" s="3"/>
      <c r="W19" s="36">
        <f>COUNTIF(TabSLS[[#This Row],[SP1]:[SP37]],"SITZ")</f>
        <v>0</v>
      </c>
      <c r="X19" s="37">
        <f>IF(TabSLS[[#This Row],[Patt?]],IF(Pattaufloesung="Los-Chance",TabSLS[[#This Row],[Los Chance]],TabSLS[[#This Row],[Pattgewinn]]+0),0)</f>
        <v>0</v>
      </c>
      <c r="Y19" s="38">
        <f>Grunddaten[[#This Row],[Sitze im Hauptorgan]]/_xlfn.NUMBERVALUE(MID(INDEX(TabSLS[[#Headers],[:1]:[:37]],COLUMN()-COLUMN(TabSLS[[#Headers],[:1]])+1),2,3))</f>
        <v>0</v>
      </c>
      <c r="Z19" s="39">
        <f>Grunddaten[[#This Row],[Sitze im Hauptorgan]]/_xlfn.NUMBERVALUE(MID(INDEX(TabSLS[[#Headers],[:1]:[:37]],COLUMN()-COLUMN(TabSLS[[#Headers],[:1]])+1),2,3))</f>
        <v>0</v>
      </c>
      <c r="AA19" s="39">
        <f>Grunddaten[[#This Row],[Sitze im Hauptorgan]]/_xlfn.NUMBERVALUE(MID(INDEX(TabSLS[[#Headers],[:1]:[:37]],COLUMN()-COLUMN(TabSLS[[#Headers],[:1]])+1),2,3))</f>
        <v>0</v>
      </c>
      <c r="AB19" s="39">
        <f>Grunddaten[[#This Row],[Sitze im Hauptorgan]]/_xlfn.NUMBERVALUE(MID(INDEX(TabSLS[[#Headers],[:1]:[:37]],COLUMN()-COLUMN(TabSLS[[#Headers],[:1]])+1),2,3))</f>
        <v>0</v>
      </c>
      <c r="AC19" s="39">
        <f>Grunddaten[[#This Row],[Sitze im Hauptorgan]]/_xlfn.NUMBERVALUE(MID(INDEX(TabSLS[[#Headers],[:1]:[:37]],COLUMN()-COLUMN(TabSLS[[#Headers],[:1]])+1),2,3))</f>
        <v>0</v>
      </c>
      <c r="AD19" s="39">
        <f>Grunddaten[[#This Row],[Sitze im Hauptorgan]]/_xlfn.NUMBERVALUE(MID(INDEX(TabSLS[[#Headers],[:1]:[:37]],COLUMN()-COLUMN(TabSLS[[#Headers],[:1]])+1),2,3))</f>
        <v>0</v>
      </c>
      <c r="AE19" s="39">
        <f>Grunddaten[[#This Row],[Sitze im Hauptorgan]]/_xlfn.NUMBERVALUE(MID(INDEX(TabSLS[[#Headers],[:1]:[:37]],COLUMN()-COLUMN(TabSLS[[#Headers],[:1]])+1),2,3))</f>
        <v>0</v>
      </c>
      <c r="AF19" s="39">
        <f>Grunddaten[[#This Row],[Sitze im Hauptorgan]]/_xlfn.NUMBERVALUE(MID(INDEX(TabSLS[[#Headers],[:1]:[:37]],COLUMN()-COLUMN(TabSLS[[#Headers],[:1]])+1),2,3))</f>
        <v>0</v>
      </c>
      <c r="AG19" s="39">
        <f>Grunddaten[[#This Row],[Sitze im Hauptorgan]]/_xlfn.NUMBERVALUE(MID(INDEX(TabSLS[[#Headers],[:1]:[:37]],COLUMN()-COLUMN(TabSLS[[#Headers],[:1]])+1),2,3))</f>
        <v>0</v>
      </c>
      <c r="AH19" s="39">
        <f>Grunddaten[[#This Row],[Sitze im Hauptorgan]]/_xlfn.NUMBERVALUE(MID(INDEX(TabSLS[[#Headers],[:1]:[:37]],COLUMN()-COLUMN(TabSLS[[#Headers],[:1]])+1),2,3))</f>
        <v>0</v>
      </c>
      <c r="AI19" s="39">
        <f>Grunddaten[[#This Row],[Sitze im Hauptorgan]]/_xlfn.NUMBERVALUE(MID(INDEX(TabSLS[[#Headers],[:1]:[:37]],COLUMN()-COLUMN(TabSLS[[#Headers],[:1]])+1),2,3))</f>
        <v>0</v>
      </c>
      <c r="AJ19" s="39">
        <f>Grunddaten[[#This Row],[Sitze im Hauptorgan]]/_xlfn.NUMBERVALUE(MID(INDEX(TabSLS[[#Headers],[:1]:[:37]],COLUMN()-COLUMN(TabSLS[[#Headers],[:1]])+1),2,3))</f>
        <v>0</v>
      </c>
      <c r="AK19" s="39">
        <f>Grunddaten[[#This Row],[Sitze im Hauptorgan]]/_xlfn.NUMBERVALUE(MID(INDEX(TabSLS[[#Headers],[:1]:[:37]],COLUMN()-COLUMN(TabSLS[[#Headers],[:1]])+1),2,3))</f>
        <v>0</v>
      </c>
      <c r="AL19" s="39">
        <f>Grunddaten[[#This Row],[Sitze im Hauptorgan]]/_xlfn.NUMBERVALUE(MID(INDEX(TabSLS[[#Headers],[:1]:[:37]],COLUMN()-COLUMN(TabSLS[[#Headers],[:1]])+1),2,3))</f>
        <v>0</v>
      </c>
      <c r="AM19" s="39">
        <f>Grunddaten[[#This Row],[Sitze im Hauptorgan]]/_xlfn.NUMBERVALUE(MID(INDEX(TabSLS[[#Headers],[:1]:[:37]],COLUMN()-COLUMN(TabSLS[[#Headers],[:1]])+1),2,3))</f>
        <v>0</v>
      </c>
      <c r="AN19" s="39">
        <f>Grunddaten[[#This Row],[Sitze im Hauptorgan]]/_xlfn.NUMBERVALUE(MID(INDEX(TabSLS[[#Headers],[:1]:[:37]],COLUMN()-COLUMN(TabSLS[[#Headers],[:1]])+1),2,3))</f>
        <v>0</v>
      </c>
      <c r="AO19" s="39">
        <f>Grunddaten[[#This Row],[Sitze im Hauptorgan]]/_xlfn.NUMBERVALUE(MID(INDEX(TabSLS[[#Headers],[:1]:[:37]],COLUMN()-COLUMN(TabSLS[[#Headers],[:1]])+1),2,3))</f>
        <v>0</v>
      </c>
      <c r="AP19" s="39">
        <f>Grunddaten[[#This Row],[Sitze im Hauptorgan]]/_xlfn.NUMBERVALUE(MID(INDEX(TabSLS[[#Headers],[:1]:[:37]],COLUMN()-COLUMN(TabSLS[[#Headers],[:1]])+1),2,3))</f>
        <v>0</v>
      </c>
      <c r="AQ19" s="40">
        <f>Grunddaten[[#This Row],[Sitze im Hauptorgan]]/_xlfn.NUMBERVALUE(MID(INDEX(TabSLS[[#Headers],[:1]:[:37]],COLUMN()-COLUMN(TabSLS[[#Headers],[:1]])+1),2,3))</f>
        <v>0</v>
      </c>
      <c r="AR19" s="41">
        <f>_xlfn.RANK.EQ(TabSLS[[#This Row],[:1]],TabSLS[[:1]:[:37]],0)</f>
        <v>210</v>
      </c>
      <c r="AS19" s="42">
        <f>_xlfn.RANK.EQ(TabSLS[[#This Row],[:3]],TabSLS[[:1]:[:37]],0)</f>
        <v>210</v>
      </c>
      <c r="AT19" s="42">
        <f>_xlfn.RANK.EQ(TabSLS[[#This Row],[:5]],TabSLS[[:1]:[:37]],0)</f>
        <v>210</v>
      </c>
      <c r="AU19" s="42">
        <f>_xlfn.RANK.EQ(TabSLS[[#This Row],[:7]],TabSLS[[:1]:[:37]],0)</f>
        <v>210</v>
      </c>
      <c r="AV19" s="42">
        <f>_xlfn.RANK.EQ(TabSLS[[#This Row],[:9]],TabSLS[[:1]:[:37]],0)</f>
        <v>210</v>
      </c>
      <c r="AW19" s="42">
        <f>_xlfn.RANK.EQ(TabSLS[[#This Row],[:11]],TabSLS[[:1]:[:37]],0)</f>
        <v>210</v>
      </c>
      <c r="AX19" s="42">
        <f>_xlfn.RANK.EQ(TabSLS[[#This Row],[:13]],TabSLS[[:1]:[:37]],0)</f>
        <v>210</v>
      </c>
      <c r="AY19" s="42">
        <f>_xlfn.RANK.EQ(TabSLS[[#This Row],[:15]],TabSLS[[:1]:[:37]],0)</f>
        <v>210</v>
      </c>
      <c r="AZ19" s="42">
        <f>_xlfn.RANK.EQ(TabSLS[[#This Row],[:17]],TabSLS[[:1]:[:37]],0)</f>
        <v>210</v>
      </c>
      <c r="BA19" s="42">
        <f>_xlfn.RANK.EQ(TabSLS[[#This Row],[:19]],TabSLS[[:1]:[:37]],0)</f>
        <v>210</v>
      </c>
      <c r="BB19" s="42">
        <f>_xlfn.RANK.EQ(TabSLS[[#This Row],[:21]],TabSLS[[:1]:[:37]],0)</f>
        <v>210</v>
      </c>
      <c r="BC19" s="42">
        <f>_xlfn.RANK.EQ(TabSLS[[#This Row],[:23]],TabSLS[[:1]:[:37]],0)</f>
        <v>210</v>
      </c>
      <c r="BD19" s="42">
        <f>_xlfn.RANK.EQ(TabSLS[[#This Row],[:25]],TabSLS[[:1]:[:37]],0)</f>
        <v>210</v>
      </c>
      <c r="BE19" s="42">
        <f>_xlfn.RANK.EQ(TabSLS[[#This Row],[:27]],TabSLS[[:1]:[:37]],0)</f>
        <v>210</v>
      </c>
      <c r="BF19" s="42">
        <f>_xlfn.RANK.EQ(TabSLS[[#This Row],[:29]],TabSLS[[:1]:[:37]],0)</f>
        <v>210</v>
      </c>
      <c r="BG19" s="42">
        <f>_xlfn.RANK.EQ(TabSLS[[#This Row],[:31]],TabSLS[[:1]:[:37]],0)</f>
        <v>210</v>
      </c>
      <c r="BH19" s="42">
        <f>_xlfn.RANK.EQ(TabSLS[[#This Row],[:33]],TabSLS[[:1]:[:37]],0)</f>
        <v>210</v>
      </c>
      <c r="BI19" s="42">
        <f>_xlfn.RANK.EQ(TabSLS[[#This Row],[:35]],TabSLS[[:1]:[:37]],0)</f>
        <v>210</v>
      </c>
      <c r="BJ19" s="43">
        <f>_xlfn.RANK.EQ(TabSLS[[#This Row],[:37]],TabSLS[[:1]:[:37]],0)</f>
        <v>210</v>
      </c>
      <c r="BK19" s="44" t="str">
        <f>IF(TabSLS[[#This Row],[R1]]&lt;=Sitze_Ausschuss,IF(TabSLS[[#This Row],[R1]]+COUNTIF(TabSLS[[R1]:[R37]],TabSLS[[#This Row],[R1]])-1&lt;=Sitze_Ausschuss,"SITZ","PATT"),"")</f>
        <v/>
      </c>
      <c r="BL19" s="45" t="str">
        <f>IF(TabSLS[[#This Row],[R3]]&lt;=Sitze_Ausschuss,IF(TabSLS[[#This Row],[R3]]+COUNTIF(TabSLS[[R1]:[R37]],TabSLS[[#This Row],[R3]])-1&lt;=Sitze_Ausschuss,"SITZ","PATT"),"")</f>
        <v/>
      </c>
      <c r="BM19" s="45" t="str">
        <f>IF(TabSLS[[#This Row],[R5]]&lt;=Sitze_Ausschuss,IF(TabSLS[[#This Row],[R5]]+COUNTIF(TabSLS[[R1]:[R37]],TabSLS[[#This Row],[R5]])-1&lt;=Sitze_Ausschuss,"SITZ","PATT"),"")</f>
        <v/>
      </c>
      <c r="BN19" s="45" t="str">
        <f>IF(TabSLS[[#This Row],[R7]]&lt;=Sitze_Ausschuss,IF(TabSLS[[#This Row],[R7]]+COUNTIF(TabSLS[[R1]:[R37]],TabSLS[[#This Row],[R7]])-1&lt;=Sitze_Ausschuss,"SITZ","PATT"),"")</f>
        <v/>
      </c>
      <c r="BO19" s="45" t="str">
        <f>IF(TabSLS[[#This Row],[R9]]&lt;=Sitze_Ausschuss,IF(TabSLS[[#This Row],[R9]]+COUNTIF(TabSLS[[R1]:[R37]],TabSLS[[#This Row],[R9]])-1&lt;=Sitze_Ausschuss,"SITZ","PATT"),"")</f>
        <v/>
      </c>
      <c r="BP19" s="45" t="str">
        <f>IF(TabSLS[[#This Row],[R11]]&lt;=Sitze_Ausschuss,IF(TabSLS[[#This Row],[R11]]+COUNTIF(TabSLS[[R1]:[R37]],TabSLS[[#This Row],[R11]])-1&lt;=Sitze_Ausschuss,"SITZ","PATT"),"")</f>
        <v/>
      </c>
      <c r="BQ19" s="45" t="str">
        <f>IF(TabSLS[[#This Row],[R13]]&lt;=Sitze_Ausschuss,IF(TabSLS[[#This Row],[R13]]+COUNTIF(TabSLS[[R1]:[R37]],TabSLS[[#This Row],[R13]])-1&lt;=Sitze_Ausschuss,"SITZ","PATT"),"")</f>
        <v/>
      </c>
      <c r="BR19" s="45" t="str">
        <f>IF(TabSLS[[#This Row],[R15]]&lt;=Sitze_Ausschuss,IF(TabSLS[[#This Row],[R15]]+COUNTIF(TabSLS[[R1]:[R37]],TabSLS[[#This Row],[R15]])-1&lt;=Sitze_Ausschuss,"SITZ","PATT"),"")</f>
        <v/>
      </c>
      <c r="BS19" s="45" t="str">
        <f>IF(TabSLS[[#This Row],[R17]]&lt;=Sitze_Ausschuss,IF(TabSLS[[#This Row],[R17]]+COUNTIF(TabSLS[[R1]:[R37]],TabSLS[[#This Row],[R17]])-1&lt;=Sitze_Ausschuss,"SITZ","PATT"),"")</f>
        <v/>
      </c>
      <c r="BT19" s="45" t="str">
        <f>IF(TabSLS[[#This Row],[R19]]&lt;=Sitze_Ausschuss,IF(TabSLS[[#This Row],[R19]]+COUNTIF(TabSLS[[R1]:[R37]],TabSLS[[#This Row],[R19]])-1&lt;=Sitze_Ausschuss,"SITZ","PATT"),"")</f>
        <v/>
      </c>
      <c r="BU19" s="45" t="str">
        <f>IF(TabSLS[[#This Row],[R21]]&lt;=Sitze_Ausschuss,IF(TabSLS[[#This Row],[R21]]+COUNTIF(TabSLS[[R1]:[R37]],TabSLS[[#This Row],[R21]])-1&lt;=Sitze_Ausschuss,"SITZ","PATT"),"")</f>
        <v/>
      </c>
      <c r="BV19" s="45" t="str">
        <f>IF(TabSLS[[#This Row],[R23]]&lt;=Sitze_Ausschuss,IF(TabSLS[[#This Row],[R23]]+COUNTIF(TabSLS[[R1]:[R37]],TabSLS[[#This Row],[R23]])-1&lt;=Sitze_Ausschuss,"SITZ","PATT"),"")</f>
        <v/>
      </c>
      <c r="BW19" s="45" t="str">
        <f>IF(TabSLS[[#This Row],[R25]]&lt;=Sitze_Ausschuss,IF(TabSLS[[#This Row],[R25]]+COUNTIF(TabSLS[[R1]:[R37]],TabSLS[[#This Row],[R25]])-1&lt;=Sitze_Ausschuss,"SITZ","PATT"),"")</f>
        <v/>
      </c>
      <c r="BX19" s="45" t="str">
        <f>IF(TabSLS[[#This Row],[R27]]&lt;=Sitze_Ausschuss,IF(TabSLS[[#This Row],[R27]]+COUNTIF(TabSLS[[R1]:[R37]],TabSLS[[#This Row],[R27]])-1&lt;=Sitze_Ausschuss,"SITZ","PATT"),"")</f>
        <v/>
      </c>
      <c r="BY19" s="45" t="str">
        <f>IF(TabSLS[[#This Row],[R29]]&lt;=Sitze_Ausschuss,IF(TabSLS[[#This Row],[R29]]+COUNTIF(TabSLS[[R1]:[R37]],TabSLS[[#This Row],[R29]])-1&lt;=Sitze_Ausschuss,"SITZ","PATT"),"")</f>
        <v/>
      </c>
      <c r="BZ19" s="45" t="str">
        <f>IF(TabSLS[[#This Row],[R31]]&lt;=Sitze_Ausschuss,IF(TabSLS[[#This Row],[R31]]+COUNTIF(TabSLS[[R1]:[R37]],TabSLS[[#This Row],[R31]])-1&lt;=Sitze_Ausschuss,"SITZ","PATT"),"")</f>
        <v/>
      </c>
      <c r="CA19" s="45" t="str">
        <f>IF(TabSLS[[#This Row],[R33]]&lt;=Sitze_Ausschuss,IF(TabSLS[[#This Row],[R33]]+COUNTIF(TabSLS[[R1]:[R37]],TabSLS[[#This Row],[R33]])-1&lt;=Sitze_Ausschuss,"SITZ","PATT"),"")</f>
        <v/>
      </c>
      <c r="CB19" s="45" t="str">
        <f>IF(TabSLS[[#This Row],[R35]]&lt;=Sitze_Ausschuss,IF(TabSLS[[#This Row],[R35]]+COUNTIF(TabSLS[[R1]:[R37]],TabSLS[[#This Row],[R35]])-1&lt;=Sitze_Ausschuss,"SITZ","PATT"),"")</f>
        <v/>
      </c>
      <c r="CC19" s="46" t="str">
        <f>IF(TabSLS[[#This Row],[R37]]&lt;=Sitze_Ausschuss,IF(TabSLS[[#This Row],[R37]]+COUNTIF(TabSLS[[R1]:[R37]],TabSLS[[#This Row],[R37]])-1&lt;=Sitze_Ausschuss,"SITZ","PATT"),"")</f>
        <v/>
      </c>
      <c r="CD19" s="47" t="b">
        <f>COUNTIF(TabSLS[[#This Row],[SP1]:[SP37]],"PATT")&gt;0</f>
        <v>0</v>
      </c>
      <c r="CE19" s="33">
        <f>IF(TabSLS[[#This Row],[Patt?]],(Sitze_Ausschuss-SUM(TabSLS[Sitze]))/TabSLS[[#Totals],[Patt?]],0)</f>
        <v>0</v>
      </c>
      <c r="CF19" s="48">
        <f>TabSLS[[#This Row],[Patt?]]*IF(Pattaufloesung="Stimmen",TabPatt[[#This Row],[Stimmen]],0)*1</f>
        <v>0</v>
      </c>
      <c r="CG19" s="49" t="b">
        <f>_xlfn.RANK.EQ(TabSLS[[#This Row],[Stimmen Gelost]],TabSLS[Stimmen Gelost],0)&lt;=(Sitze_Ausschuss-SUM(TabSLS[Sitze]))</f>
        <v>0</v>
      </c>
      <c r="CH19" s="78" t="b">
        <f>OR(TabSLS[[#This Row],[Sitze]]&lt;ROUNDDOWN(Grunddaten[[#This Row],[Proporzgenaue Zahl Ausschuss]],0),TabSLS[[#This Row],[Sitze]]+(TabSLS[[#This Row],[Patt?]]*1)&gt;ROUNDUP(Grunddaten[[#This Row],[Proporzgenaue Zahl Ausschuss]],0))</f>
        <v>0</v>
      </c>
      <c r="CI19" s="3"/>
      <c r="CJ19" s="36">
        <f>COUNTIF(TabDH[[#This Row],[SP1]:[SP19]],"SITZ")</f>
        <v>0</v>
      </c>
      <c r="CK19" s="37">
        <f>IF(TabDH[[#This Row],[Patt]],IF(Pattaufloesung="Los-Chance",TabDH[[#This Row],[Los Chance]],TabDH[[#This Row],[Pattgewinn]]+0),0)</f>
        <v>0</v>
      </c>
      <c r="CL19" s="38">
        <f>Grunddaten[[#This Row],[Sitze im Hauptorgan]]/_xlfn.NUMBERVALUE(MID(INDEX(TabDH[[#Headers],[:1]:[:19]],COLUMN()-COLUMN(TabDH[[#Headers],[:1]])+1),2,3))</f>
        <v>0</v>
      </c>
      <c r="CM19" s="39">
        <f>Grunddaten[[#This Row],[Sitze im Hauptorgan]]/_xlfn.NUMBERVALUE(MID(INDEX(TabDH[[#Headers],[:1]:[:19]],COLUMN()-COLUMN(TabDH[[#Headers],[:1]])+1),2,3))</f>
        <v>0</v>
      </c>
      <c r="CN19" s="39">
        <f>Grunddaten[[#This Row],[Sitze im Hauptorgan]]/_xlfn.NUMBERVALUE(MID(INDEX(TabDH[[#Headers],[:1]:[:19]],COLUMN()-COLUMN(TabDH[[#Headers],[:1]])+1),2,3))</f>
        <v>0</v>
      </c>
      <c r="CO19" s="39">
        <f>Grunddaten[[#This Row],[Sitze im Hauptorgan]]/_xlfn.NUMBERVALUE(MID(INDEX(TabDH[[#Headers],[:1]:[:19]],COLUMN()-COLUMN(TabDH[[#Headers],[:1]])+1),2,3))</f>
        <v>0</v>
      </c>
      <c r="CP19" s="39">
        <f>Grunddaten[[#This Row],[Sitze im Hauptorgan]]/_xlfn.NUMBERVALUE(MID(INDEX(TabDH[[#Headers],[:1]:[:19]],COLUMN()-COLUMN(TabDH[[#Headers],[:1]])+1),2,3))</f>
        <v>0</v>
      </c>
      <c r="CQ19" s="39">
        <f>Grunddaten[[#This Row],[Sitze im Hauptorgan]]/_xlfn.NUMBERVALUE(MID(INDEX(TabDH[[#Headers],[:1]:[:19]],COLUMN()-COLUMN(TabDH[[#Headers],[:1]])+1),2,3))</f>
        <v>0</v>
      </c>
      <c r="CR19" s="39">
        <f>Grunddaten[[#This Row],[Sitze im Hauptorgan]]/_xlfn.NUMBERVALUE(MID(INDEX(TabDH[[#Headers],[:1]:[:19]],COLUMN()-COLUMN(TabDH[[#Headers],[:1]])+1),2,3))</f>
        <v>0</v>
      </c>
      <c r="CS19" s="39">
        <f>Grunddaten[[#This Row],[Sitze im Hauptorgan]]/_xlfn.NUMBERVALUE(MID(INDEX(TabDH[[#Headers],[:1]:[:19]],COLUMN()-COLUMN(TabDH[[#Headers],[:1]])+1),2,3))</f>
        <v>0</v>
      </c>
      <c r="CT19" s="39">
        <f>Grunddaten[[#This Row],[Sitze im Hauptorgan]]/_xlfn.NUMBERVALUE(MID(INDEX(TabDH[[#Headers],[:1]:[:19]],COLUMN()-COLUMN(TabDH[[#Headers],[:1]])+1),2,3))</f>
        <v>0</v>
      </c>
      <c r="CU19" s="39">
        <f>Grunddaten[[#This Row],[Sitze im Hauptorgan]]/_xlfn.NUMBERVALUE(MID(INDEX(TabDH[[#Headers],[:1]:[:19]],COLUMN()-COLUMN(TabDH[[#Headers],[:1]])+1),2,3))</f>
        <v>0</v>
      </c>
      <c r="CV19" s="39">
        <f>Grunddaten[[#This Row],[Sitze im Hauptorgan]]/_xlfn.NUMBERVALUE(MID(INDEX(TabDH[[#Headers],[:1]:[:19]],COLUMN()-COLUMN(TabDH[[#Headers],[:1]])+1),2,3))</f>
        <v>0</v>
      </c>
      <c r="CW19" s="39">
        <f>Grunddaten[[#This Row],[Sitze im Hauptorgan]]/_xlfn.NUMBERVALUE(MID(INDEX(TabDH[[#Headers],[:1]:[:19]],COLUMN()-COLUMN(TabDH[[#Headers],[:1]])+1),2,3))</f>
        <v>0</v>
      </c>
      <c r="CX19" s="39">
        <f>Grunddaten[[#This Row],[Sitze im Hauptorgan]]/_xlfn.NUMBERVALUE(MID(INDEX(TabDH[[#Headers],[:1]:[:19]],COLUMN()-COLUMN(TabDH[[#Headers],[:1]])+1),2,3))</f>
        <v>0</v>
      </c>
      <c r="CY19" s="39">
        <f>Grunddaten[[#This Row],[Sitze im Hauptorgan]]/_xlfn.NUMBERVALUE(MID(INDEX(TabDH[[#Headers],[:1]:[:19]],COLUMN()-COLUMN(TabDH[[#Headers],[:1]])+1),2,3))</f>
        <v>0</v>
      </c>
      <c r="CZ19" s="39">
        <f>Grunddaten[[#This Row],[Sitze im Hauptorgan]]/_xlfn.NUMBERVALUE(MID(INDEX(TabDH[[#Headers],[:1]:[:19]],COLUMN()-COLUMN(TabDH[[#Headers],[:1]])+1),2,3))</f>
        <v>0</v>
      </c>
      <c r="DA19" s="39">
        <f>Grunddaten[[#This Row],[Sitze im Hauptorgan]]/_xlfn.NUMBERVALUE(MID(INDEX(TabDH[[#Headers],[:1]:[:19]],COLUMN()-COLUMN(TabDH[[#Headers],[:1]])+1),2,3))</f>
        <v>0</v>
      </c>
      <c r="DB19" s="39">
        <f>Grunddaten[[#This Row],[Sitze im Hauptorgan]]/_xlfn.NUMBERVALUE(MID(INDEX(TabDH[[#Headers],[:1]:[:19]],COLUMN()-COLUMN(TabDH[[#Headers],[:1]])+1),2,3))</f>
        <v>0</v>
      </c>
      <c r="DC19" s="39">
        <f>Grunddaten[[#This Row],[Sitze im Hauptorgan]]/_xlfn.NUMBERVALUE(MID(INDEX(TabDH[[#Headers],[:1]:[:19]],COLUMN()-COLUMN(TabDH[[#Headers],[:1]])+1),2,3))</f>
        <v>0</v>
      </c>
      <c r="DD19" s="40">
        <f>Grunddaten[[#This Row],[Sitze im Hauptorgan]]/_xlfn.NUMBERVALUE(MID(INDEX(TabDH[[#Headers],[:1]:[:19]],COLUMN()-COLUMN(TabDH[[#Headers],[:1]])+1),2,3))</f>
        <v>0</v>
      </c>
      <c r="DE19" s="41">
        <f>_xlfn.RANK.EQ(TabDH[[#This Row],[:1]],TabDH[[:1]:[:19]],0)</f>
        <v>210</v>
      </c>
      <c r="DF19" s="42">
        <f>_xlfn.RANK.EQ(TabDH[[#This Row],[:2]],TabDH[[:1]:[:19]],0)</f>
        <v>210</v>
      </c>
      <c r="DG19" s="42">
        <f>_xlfn.RANK.EQ(TabDH[[#This Row],[:3]],TabDH[[:1]:[:19]],0)</f>
        <v>210</v>
      </c>
      <c r="DH19" s="42">
        <f>_xlfn.RANK.EQ(TabDH[[#This Row],[:4]],TabDH[[:1]:[:19]],0)</f>
        <v>210</v>
      </c>
      <c r="DI19" s="42">
        <f>_xlfn.RANK.EQ(TabDH[[#This Row],[:5]],TabDH[[:1]:[:19]],0)</f>
        <v>210</v>
      </c>
      <c r="DJ19" s="42">
        <f>_xlfn.RANK.EQ(TabDH[[#This Row],[:6]],TabDH[[:1]:[:19]],0)</f>
        <v>210</v>
      </c>
      <c r="DK19" s="42">
        <f>_xlfn.RANK.EQ(TabDH[[#This Row],[:7]],TabDH[[:1]:[:19]],0)</f>
        <v>210</v>
      </c>
      <c r="DL19" s="42">
        <f>_xlfn.RANK.EQ(TabDH[[#This Row],[:8]],TabDH[[:1]:[:19]],0)</f>
        <v>210</v>
      </c>
      <c r="DM19" s="42">
        <f>_xlfn.RANK.EQ(TabDH[[#This Row],[:9]],TabDH[[:1]:[:19]],0)</f>
        <v>210</v>
      </c>
      <c r="DN19" s="42">
        <f>_xlfn.RANK.EQ(TabDH[[#This Row],[:10]],TabDH[[:1]:[:19]],0)</f>
        <v>210</v>
      </c>
      <c r="DO19" s="42">
        <f>_xlfn.RANK.EQ(TabDH[[#This Row],[:11]],TabDH[[:1]:[:19]],0)</f>
        <v>210</v>
      </c>
      <c r="DP19" s="42">
        <f>_xlfn.RANK.EQ(TabDH[[#This Row],[:12]],TabDH[[:1]:[:19]],0)</f>
        <v>210</v>
      </c>
      <c r="DQ19" s="42">
        <f>_xlfn.RANK.EQ(TabDH[[#This Row],[:13]],TabDH[[:1]:[:19]],0)</f>
        <v>210</v>
      </c>
      <c r="DR19" s="42">
        <f>_xlfn.RANK.EQ(TabDH[[#This Row],[:14]],TabDH[[:1]:[:19]],0)</f>
        <v>210</v>
      </c>
      <c r="DS19" s="42">
        <f>_xlfn.RANK.EQ(TabDH[[#This Row],[:15]],TabDH[[:1]:[:19]],0)</f>
        <v>210</v>
      </c>
      <c r="DT19" s="42">
        <f>_xlfn.RANK.EQ(TabDH[[#This Row],[:16]],TabDH[[:1]:[:19]],0)</f>
        <v>210</v>
      </c>
      <c r="DU19" s="42">
        <f>_xlfn.RANK.EQ(TabDH[[#This Row],[:17]],TabDH[[:1]:[:19]],0)</f>
        <v>210</v>
      </c>
      <c r="DV19" s="42">
        <f>_xlfn.RANK.EQ(TabDH[[#This Row],[:18]],TabDH[[:1]:[:19]],0)</f>
        <v>210</v>
      </c>
      <c r="DW19" s="43">
        <f>_xlfn.RANK.EQ(TabDH[[#This Row],[:19]],TabDH[[:1]:[:19]],0)</f>
        <v>210</v>
      </c>
      <c r="DX19" s="44" t="str">
        <f>IF(TabDH[[#This Row],[R1]]&lt;=Sitze_Ausschuss,IF(TabDH[[#This Row],[R1]]+COUNTIF(TabDH[[R1]:[R19]],TabDH[[#This Row],[R1]])-1&lt;=Sitze_Ausschuss,"SITZ","PATT"),"")</f>
        <v/>
      </c>
      <c r="DY19" s="45" t="str">
        <f>IF(TabDH[[#This Row],[R2]]&lt;=Sitze_Ausschuss,IF(TabDH[[#This Row],[R2]]+COUNTIF(TabDH[[R1]:[R19]],TabDH[[#This Row],[R2]])-1&lt;=Sitze_Ausschuss,"SITZ","PATT"),"")</f>
        <v/>
      </c>
      <c r="DZ19" s="45" t="str">
        <f>IF(TabDH[[#This Row],[R3]]&lt;=Sitze_Ausschuss,IF(TabDH[[#This Row],[R3]]+COUNTIF(TabDH[[R1]:[R19]],TabDH[[#This Row],[R3]])-1&lt;=Sitze_Ausschuss,"SITZ","PATT"),"")</f>
        <v/>
      </c>
      <c r="EA19" s="45" t="str">
        <f>IF(TabDH[[#This Row],[R4]]&lt;=Sitze_Ausschuss,IF(TabDH[[#This Row],[R4]]+COUNTIF(TabDH[[R1]:[R19]],TabDH[[#This Row],[R4]])-1&lt;=Sitze_Ausschuss,"SITZ","PATT"),"")</f>
        <v/>
      </c>
      <c r="EB19" s="45" t="str">
        <f>IF(TabDH[[#This Row],[R5]]&lt;=Sitze_Ausschuss,IF(TabDH[[#This Row],[R5]]+COUNTIF(TabDH[[R1]:[R19]],TabDH[[#This Row],[R5]])-1&lt;=Sitze_Ausschuss,"SITZ","PATT"),"")</f>
        <v/>
      </c>
      <c r="EC19" s="45" t="str">
        <f>IF(TabDH[[#This Row],[R6]]&lt;=Sitze_Ausschuss,IF(TabDH[[#This Row],[R6]]+COUNTIF(TabDH[[R1]:[R19]],TabDH[[#This Row],[R6]])-1&lt;=Sitze_Ausschuss,"SITZ","PATT"),"")</f>
        <v/>
      </c>
      <c r="ED19" s="45" t="str">
        <f>IF(TabDH[[#This Row],[R7]]&lt;=Sitze_Ausschuss,IF(TabDH[[#This Row],[R7]]+COUNTIF(TabDH[[R1]:[R19]],TabDH[[#This Row],[R7]])-1&lt;=Sitze_Ausschuss,"SITZ","PATT"),"")</f>
        <v/>
      </c>
      <c r="EE19" s="45" t="str">
        <f>IF(TabDH[[#This Row],[R8]]&lt;=Sitze_Ausschuss,IF(TabDH[[#This Row],[R8]]+COUNTIF(TabDH[[R1]:[R19]],TabDH[[#This Row],[R8]])-1&lt;=Sitze_Ausschuss,"SITZ","PATT"),"")</f>
        <v/>
      </c>
      <c r="EF19" s="45" t="str">
        <f>IF(TabDH[[#This Row],[R9]]&lt;=Sitze_Ausschuss,IF(TabDH[[#This Row],[R9]]+COUNTIF(TabDH[[R1]:[R19]],TabDH[[#This Row],[R9]])-1&lt;=Sitze_Ausschuss,"SITZ","PATT"),"")</f>
        <v/>
      </c>
      <c r="EG19" s="45" t="str">
        <f>IF(TabDH[[#This Row],[R10]]&lt;=Sitze_Ausschuss,IF(TabDH[[#This Row],[R10]]+COUNTIF(TabDH[[R1]:[R19]],TabDH[[#This Row],[R10]])-1&lt;=Sitze_Ausschuss,"SITZ","PATT"),"")</f>
        <v/>
      </c>
      <c r="EH19" s="45" t="str">
        <f>IF(TabDH[[#This Row],[R11]]&lt;=Sitze_Ausschuss,IF(TabDH[[#This Row],[R11]]+COUNTIF(TabDH[[R1]:[R19]],TabDH[[#This Row],[R11]])-1&lt;=Sitze_Ausschuss,"SITZ","PATT"),"")</f>
        <v/>
      </c>
      <c r="EI19" s="45" t="str">
        <f>IF(TabDH[[#This Row],[R12]]&lt;=Sitze_Ausschuss,IF(TabDH[[#This Row],[R12]]+COUNTIF(TabDH[[R1]:[R19]],TabDH[[#This Row],[R12]])-1&lt;=Sitze_Ausschuss,"SITZ","PATT"),"")</f>
        <v/>
      </c>
      <c r="EJ19" s="45" t="str">
        <f>IF(TabDH[[#This Row],[R13]]&lt;=Sitze_Ausschuss,IF(TabDH[[#This Row],[R13]]+COUNTIF(TabDH[[R1]:[R19]],TabDH[[#This Row],[R13]])-1&lt;=Sitze_Ausschuss,"SITZ","PATT"),"")</f>
        <v/>
      </c>
      <c r="EK19" s="45" t="str">
        <f>IF(TabDH[[#This Row],[R14]]&lt;=Sitze_Ausschuss,IF(TabDH[[#This Row],[R14]]+COUNTIF(TabDH[[R1]:[R19]],TabDH[[#This Row],[R14]])-1&lt;=Sitze_Ausschuss,"SITZ","PATT"),"")</f>
        <v/>
      </c>
      <c r="EL19" s="45" t="str">
        <f>IF(TabDH[[#This Row],[R15]]&lt;=Sitze_Ausschuss,IF(TabDH[[#This Row],[R15]]+COUNTIF(TabDH[[R1]:[R19]],TabDH[[#This Row],[R15]])-1&lt;=Sitze_Ausschuss,"SITZ","PATT"),"")</f>
        <v/>
      </c>
      <c r="EM19" s="45" t="str">
        <f>IF(TabDH[[#This Row],[R16]]&lt;=Sitze_Ausschuss,IF(TabDH[[#This Row],[R16]]+COUNTIF(TabDH[[R1]:[R19]],TabDH[[#This Row],[R16]])-1&lt;=Sitze_Ausschuss,"SITZ","PATT"),"")</f>
        <v/>
      </c>
      <c r="EN19" s="45" t="str">
        <f>IF(TabDH[[#This Row],[R17]]&lt;=Sitze_Ausschuss,IF(TabDH[[#This Row],[R17]]+COUNTIF(TabDH[[R1]:[R19]],TabDH[[#This Row],[R17]])-1&lt;=Sitze_Ausschuss,"SITZ","PATT"),"")</f>
        <v/>
      </c>
      <c r="EO19" s="45" t="str">
        <f>IF(TabDH[[#This Row],[R18]]&lt;=Sitze_Ausschuss,IF(TabDH[[#This Row],[R18]]+COUNTIF(TabDH[[R1]:[R19]],TabDH[[#This Row],[R18]])-1&lt;=Sitze_Ausschuss,"SITZ","PATT"),"")</f>
        <v/>
      </c>
      <c r="EP19" s="45" t="str">
        <f>IF(TabDH[[#This Row],[R19]]&lt;=Sitze_Ausschuss,IF(TabDH[[#This Row],[R19]]+COUNTIF(TabDH[[R1]:[R19]],TabDH[[#This Row],[R19]])-1&lt;=Sitze_Ausschuss,"SITZ","PATT"),"")</f>
        <v/>
      </c>
      <c r="EQ19" s="47" t="b">
        <f>COUNTIF(TabDH[[#This Row],[SP1]:[SP19]],"PATT")&gt;0</f>
        <v>0</v>
      </c>
      <c r="ER19" s="33">
        <f>IF(TabDH[[#This Row],[Patt]],(Sitze_Ausschuss-SUM(TabDH[Sitze]))/TabDH[[#Totals],[Patt]],0)</f>
        <v>0</v>
      </c>
      <c r="ES19" s="48">
        <f>TabDH[[#This Row],[Patt]]*IF(Pattaufloesung="Stimmen",TabPatt[[#This Row],[Stimmen]],0)*1</f>
        <v>0</v>
      </c>
      <c r="ET19" s="49" t="b">
        <f>_xlfn.RANK.EQ(TabDH[[#This Row],[Stimmen/Gelost]],TabDH[Stimmen/Gelost],0)&lt;=(Sitze_Ausschuss-SUM(TabDH[Sitze]))</f>
        <v>0</v>
      </c>
      <c r="EU19" s="50" t="b">
        <f>OR(TabDH[[#This Row],[Sitze]]&lt;ROUNDDOWN(Grunddaten[[#This Row],[Proporzgenaue Zahl Ausschuss]],0),TabDH[[#This Row],[Sitze]]+(TabDH[[#This Row],[Patt]]*1)&gt;ROUNDUP(Grunddaten[[#This Row],[Proporzgenaue Zahl Ausschuss]],0))</f>
        <v>0</v>
      </c>
      <c r="EV19" s="3"/>
      <c r="EW19" s="51" t="str">
        <f>Grunddaten[[#This Row],[Partei/Wählergruppe]]&amp;""</f>
        <v/>
      </c>
      <c r="EX19" s="144">
        <v>0</v>
      </c>
      <c r="EY19" s="3"/>
      <c r="EZ19" t="b">
        <f>IF(AND(Grunddaten[[#This Row],[Sitze im Hauptorgan]]&gt;0,ISBLANK(Grunddaten[[#This Row],[AG?]])),ROW())</f>
        <v>0</v>
      </c>
      <c r="FA19">
        <f t="shared" si="1"/>
        <v>0</v>
      </c>
      <c r="FB19">
        <f>Grunddaten[[#This Row],[Partei/Wählergruppe]]</f>
        <v>0</v>
      </c>
      <c r="FC19">
        <f>Grunddaten[[#This Row],[Sitze im Hauptorgan]]</f>
        <v>0</v>
      </c>
      <c r="FD19">
        <f>TabPatt[[#This Row],[Stimmen]]</f>
        <v>0</v>
      </c>
      <c r="FE19" t="str">
        <f>IF(Grunddaten[[#This Row],[AG?]]=FE$6,MID(Grunddaten[[#This Row],[Partei/Wählergruppe]],1,3),"")</f>
        <v/>
      </c>
      <c r="FF19" t="str">
        <f>IF(Grunddaten[[#This Row],[AG?]]=FF$6,MID(Grunddaten[[#This Row],[Partei/Wählergruppe]],1,3),"")</f>
        <v/>
      </c>
      <c r="FG19" t="str">
        <f>IF(Grunddaten[[#This Row],[AG?]]=FG$6,MID(Grunddaten[[#This Row],[Partei/Wählergruppe]],1,3),"")</f>
        <v/>
      </c>
      <c r="FH19" t="str">
        <f>IF(Grunddaten[[#This Row],[AG?]]=FH$6,MID(Grunddaten[[#This Row],[Partei/Wählergruppe]],1,3),"")</f>
        <v/>
      </c>
      <c r="FI19" s="154">
        <f>TabHN[[#This Row],[Sitze]]+TabHN[[#This Row],[Patt Auflösung]]</f>
        <v>0</v>
      </c>
      <c r="FJ19" s="154">
        <f>TabSLS[[#This Row],[Sitze]]+TabSLS[[#This Row],[Patt Auflösung]]</f>
        <v>0</v>
      </c>
      <c r="FK19" s="154">
        <f>TabDH[[#This Row],[Sitze]]+TabDH[[#This Row],[Patt Auflösung]]</f>
        <v>0</v>
      </c>
      <c r="FL19" s="154">
        <f t="shared" si="2"/>
        <v>0</v>
      </c>
      <c r="FM19" s="154">
        <f t="shared" si="3"/>
        <v>0</v>
      </c>
      <c r="FN19" t="str">
        <f t="shared" si="4"/>
        <v>K.SITZ</v>
      </c>
    </row>
    <row r="20" spans="1:174" x14ac:dyDescent="0.25">
      <c r="A20" s="3"/>
      <c r="B20" s="70"/>
      <c r="C20" s="71"/>
      <c r="D20" s="71"/>
      <c r="E20" s="93">
        <f>Grunddaten[[#This Row],[Sitze im Hauptorgan]]/Grunddaten[[#Totals],[Sitze im Hauptorgan]]*Sitze_Ausschuss</f>
        <v>0</v>
      </c>
      <c r="F20" s="110" t="b">
        <f>OR(Grunddaten[[#This Row],[Proporzgenaue Zahl Ausschuss]]&gt;=1,Grunddaten[[#This Row],[Sitze im Hauptorgan]]&gt;Sitze_Hauptorgan/(1+Sitze_Ausschuss))</f>
        <v>0</v>
      </c>
      <c r="G20" s="159">
        <f>IF(ROUNDDOWN(Grunddaten[[#This Row],[Proporzgenaue Zahl Ausschuss]],0)&lt;&gt;ROUNDUP(Grunddaten[[#This Row],[Proporzgenaue Zahl Ausschuss]],0), ROUNDDOWN(Grunddaten[[#This Row],[Proporzgenaue Zahl Ausschuss]],0)&amp;" oder "&amp;ROUNDUP(Grunddaten[[#This Row],[Proporzgenaue Zahl Ausschuss]],0),ROUND(Grunddaten[[#This Row],[Proporzgenaue Zahl Ausschuss]],0))</f>
        <v>0</v>
      </c>
      <c r="H20" s="52" t="str">
        <f t="shared" si="0"/>
        <v>OK</v>
      </c>
      <c r="I20" s="52" t="str">
        <f>IF(TabSLS[[#This Row],[QK verletzt]],"NOK","OK")</f>
        <v>OK</v>
      </c>
      <c r="J20" s="53" t="str">
        <f>IF(TabDH[[#This Row],[QK verletzt]],"NOK","OK")</f>
        <v>OK</v>
      </c>
      <c r="K20" s="57"/>
      <c r="L20" s="92">
        <f>TabHN[[#This Row],[S ganz]]+IF(NOT(TabHN[[#This Row],[Patt]]),TabHN[[#This Row],[Restsitz]],0)</f>
        <v>0</v>
      </c>
      <c r="M20" s="29">
        <f>IF(TabHN[[#This Row],[Patt]],IF(Pattaufloesung="Los-Chance",TabHN[[#This Row],[Los Chance]],TabHN[[#This Row],[Pattgewinn]]+0),0)</f>
        <v>0</v>
      </c>
      <c r="N20" s="30">
        <f>INT(Grunddaten[[#This Row],[Proporzgenaue Zahl Ausschuss]])</f>
        <v>0</v>
      </c>
      <c r="O20" s="31">
        <f>ROUND(Grunddaten[[#This Row],[Proporzgenaue Zahl Ausschuss]]-TabHN[[#This Row],[S ganz]],4)</f>
        <v>0</v>
      </c>
      <c r="P20" s="32">
        <f>_xlfn.RANK.EQ(TabHN[[#This Row],[S Rest]],TabHN[S Rest],0)</f>
        <v>10</v>
      </c>
      <c r="Q20" s="30">
        <f>IF(TabHN[[#This Row],[Rng Rest]]&lt;=TabHN[[#Totals],[S Rest]],1,0)</f>
        <v>0</v>
      </c>
      <c r="R20" s="30" t="b">
        <f>AND(TabHN[[#This Row],[Restsitz]]=1,(COUNTIF(TabHN[Rng Rest],TabHN[[#This Row],[Rng Rest]])+TabHN[[#This Row],[Rng Rest]]-1)&gt;TabHN[[#Totals],[S Rest]])</f>
        <v>0</v>
      </c>
      <c r="S20" s="33">
        <f>IF(TabHN[[#This Row],[Patt]],(Sitze_Ausschuss-SUM(TabHN[Sitze]))/TabHN[[#Totals],[Patt]],0)</f>
        <v>0</v>
      </c>
      <c r="T20" s="34">
        <f>TabHN[[#This Row],[Patt]]*IF(Pattaufloesung="Stimmen",TabPatt[[#This Row],[Stimmen]],0)*1</f>
        <v>0</v>
      </c>
      <c r="U20" s="35" t="b">
        <f>_xlfn.RANK.EQ(TabHN[[#This Row],[Stimmen/Gelost]],TabHN[Stimmen/Gelost],0)&lt;=(Sitze_Ausschuss-SUM(TabHN[Sitze]))</f>
        <v>1</v>
      </c>
      <c r="V20" s="57"/>
      <c r="W20" s="36">
        <f>COUNTIF(TabSLS[[#This Row],[SP1]:[SP37]],"SITZ")</f>
        <v>0</v>
      </c>
      <c r="X20" s="37">
        <f>IF(TabSLS[[#This Row],[Patt?]],IF(Pattaufloesung="Los-Chance",TabSLS[[#This Row],[Los Chance]],TabSLS[[#This Row],[Pattgewinn]]+0),0)</f>
        <v>0</v>
      </c>
      <c r="Y20" s="38">
        <f>Grunddaten[[#This Row],[Sitze im Hauptorgan]]/_xlfn.NUMBERVALUE(MID(INDEX(TabSLS[[#Headers],[:1]:[:37]],COLUMN()-COLUMN(TabSLS[[#Headers],[:1]])+1),2,3))</f>
        <v>0</v>
      </c>
      <c r="Z20" s="39">
        <f>Grunddaten[[#This Row],[Sitze im Hauptorgan]]/_xlfn.NUMBERVALUE(MID(INDEX(TabSLS[[#Headers],[:1]:[:37]],COLUMN()-COLUMN(TabSLS[[#Headers],[:1]])+1),2,3))</f>
        <v>0</v>
      </c>
      <c r="AA20" s="39">
        <f>Grunddaten[[#This Row],[Sitze im Hauptorgan]]/_xlfn.NUMBERVALUE(MID(INDEX(TabSLS[[#Headers],[:1]:[:37]],COLUMN()-COLUMN(TabSLS[[#Headers],[:1]])+1),2,3))</f>
        <v>0</v>
      </c>
      <c r="AB20" s="39">
        <f>Grunddaten[[#This Row],[Sitze im Hauptorgan]]/_xlfn.NUMBERVALUE(MID(INDEX(TabSLS[[#Headers],[:1]:[:37]],COLUMN()-COLUMN(TabSLS[[#Headers],[:1]])+1),2,3))</f>
        <v>0</v>
      </c>
      <c r="AC20" s="39">
        <f>Grunddaten[[#This Row],[Sitze im Hauptorgan]]/_xlfn.NUMBERVALUE(MID(INDEX(TabSLS[[#Headers],[:1]:[:37]],COLUMN()-COLUMN(TabSLS[[#Headers],[:1]])+1),2,3))</f>
        <v>0</v>
      </c>
      <c r="AD20" s="39">
        <f>Grunddaten[[#This Row],[Sitze im Hauptorgan]]/_xlfn.NUMBERVALUE(MID(INDEX(TabSLS[[#Headers],[:1]:[:37]],COLUMN()-COLUMN(TabSLS[[#Headers],[:1]])+1),2,3))</f>
        <v>0</v>
      </c>
      <c r="AE20" s="39">
        <f>Grunddaten[[#This Row],[Sitze im Hauptorgan]]/_xlfn.NUMBERVALUE(MID(INDEX(TabSLS[[#Headers],[:1]:[:37]],COLUMN()-COLUMN(TabSLS[[#Headers],[:1]])+1),2,3))</f>
        <v>0</v>
      </c>
      <c r="AF20" s="39">
        <f>Grunddaten[[#This Row],[Sitze im Hauptorgan]]/_xlfn.NUMBERVALUE(MID(INDEX(TabSLS[[#Headers],[:1]:[:37]],COLUMN()-COLUMN(TabSLS[[#Headers],[:1]])+1),2,3))</f>
        <v>0</v>
      </c>
      <c r="AG20" s="39">
        <f>Grunddaten[[#This Row],[Sitze im Hauptorgan]]/_xlfn.NUMBERVALUE(MID(INDEX(TabSLS[[#Headers],[:1]:[:37]],COLUMN()-COLUMN(TabSLS[[#Headers],[:1]])+1),2,3))</f>
        <v>0</v>
      </c>
      <c r="AH20" s="39">
        <f>Grunddaten[[#This Row],[Sitze im Hauptorgan]]/_xlfn.NUMBERVALUE(MID(INDEX(TabSLS[[#Headers],[:1]:[:37]],COLUMN()-COLUMN(TabSLS[[#Headers],[:1]])+1),2,3))</f>
        <v>0</v>
      </c>
      <c r="AI20" s="39">
        <f>Grunddaten[[#This Row],[Sitze im Hauptorgan]]/_xlfn.NUMBERVALUE(MID(INDEX(TabSLS[[#Headers],[:1]:[:37]],COLUMN()-COLUMN(TabSLS[[#Headers],[:1]])+1),2,3))</f>
        <v>0</v>
      </c>
      <c r="AJ20" s="39">
        <f>Grunddaten[[#This Row],[Sitze im Hauptorgan]]/_xlfn.NUMBERVALUE(MID(INDEX(TabSLS[[#Headers],[:1]:[:37]],COLUMN()-COLUMN(TabSLS[[#Headers],[:1]])+1),2,3))</f>
        <v>0</v>
      </c>
      <c r="AK20" s="39">
        <f>Grunddaten[[#This Row],[Sitze im Hauptorgan]]/_xlfn.NUMBERVALUE(MID(INDEX(TabSLS[[#Headers],[:1]:[:37]],COLUMN()-COLUMN(TabSLS[[#Headers],[:1]])+1),2,3))</f>
        <v>0</v>
      </c>
      <c r="AL20" s="39">
        <f>Grunddaten[[#This Row],[Sitze im Hauptorgan]]/_xlfn.NUMBERVALUE(MID(INDEX(TabSLS[[#Headers],[:1]:[:37]],COLUMN()-COLUMN(TabSLS[[#Headers],[:1]])+1),2,3))</f>
        <v>0</v>
      </c>
      <c r="AM20" s="39">
        <f>Grunddaten[[#This Row],[Sitze im Hauptorgan]]/_xlfn.NUMBERVALUE(MID(INDEX(TabSLS[[#Headers],[:1]:[:37]],COLUMN()-COLUMN(TabSLS[[#Headers],[:1]])+1),2,3))</f>
        <v>0</v>
      </c>
      <c r="AN20" s="39">
        <f>Grunddaten[[#This Row],[Sitze im Hauptorgan]]/_xlfn.NUMBERVALUE(MID(INDEX(TabSLS[[#Headers],[:1]:[:37]],COLUMN()-COLUMN(TabSLS[[#Headers],[:1]])+1),2,3))</f>
        <v>0</v>
      </c>
      <c r="AO20" s="39">
        <f>Grunddaten[[#This Row],[Sitze im Hauptorgan]]/_xlfn.NUMBERVALUE(MID(INDEX(TabSLS[[#Headers],[:1]:[:37]],COLUMN()-COLUMN(TabSLS[[#Headers],[:1]])+1),2,3))</f>
        <v>0</v>
      </c>
      <c r="AP20" s="39">
        <f>Grunddaten[[#This Row],[Sitze im Hauptorgan]]/_xlfn.NUMBERVALUE(MID(INDEX(TabSLS[[#Headers],[:1]:[:37]],COLUMN()-COLUMN(TabSLS[[#Headers],[:1]])+1),2,3))</f>
        <v>0</v>
      </c>
      <c r="AQ20" s="40">
        <f>Grunddaten[[#This Row],[Sitze im Hauptorgan]]/_xlfn.NUMBERVALUE(MID(INDEX(TabSLS[[#Headers],[:1]:[:37]],COLUMN()-COLUMN(TabSLS[[#Headers],[:1]])+1),2,3))</f>
        <v>0</v>
      </c>
      <c r="AR20" s="41">
        <f>_xlfn.RANK.EQ(TabSLS[[#This Row],[:1]],TabSLS[[:1]:[:37]],0)</f>
        <v>210</v>
      </c>
      <c r="AS20" s="42">
        <f>_xlfn.RANK.EQ(TabSLS[[#This Row],[:3]],TabSLS[[:1]:[:37]],0)</f>
        <v>210</v>
      </c>
      <c r="AT20" s="42">
        <f>_xlfn.RANK.EQ(TabSLS[[#This Row],[:5]],TabSLS[[:1]:[:37]],0)</f>
        <v>210</v>
      </c>
      <c r="AU20" s="42">
        <f>_xlfn.RANK.EQ(TabSLS[[#This Row],[:7]],TabSLS[[:1]:[:37]],0)</f>
        <v>210</v>
      </c>
      <c r="AV20" s="42">
        <f>_xlfn.RANK.EQ(TabSLS[[#This Row],[:9]],TabSLS[[:1]:[:37]],0)</f>
        <v>210</v>
      </c>
      <c r="AW20" s="42">
        <f>_xlfn.RANK.EQ(TabSLS[[#This Row],[:11]],TabSLS[[:1]:[:37]],0)</f>
        <v>210</v>
      </c>
      <c r="AX20" s="42">
        <f>_xlfn.RANK.EQ(TabSLS[[#This Row],[:13]],TabSLS[[:1]:[:37]],0)</f>
        <v>210</v>
      </c>
      <c r="AY20" s="42">
        <f>_xlfn.RANK.EQ(TabSLS[[#This Row],[:15]],TabSLS[[:1]:[:37]],0)</f>
        <v>210</v>
      </c>
      <c r="AZ20" s="42">
        <f>_xlfn.RANK.EQ(TabSLS[[#This Row],[:17]],TabSLS[[:1]:[:37]],0)</f>
        <v>210</v>
      </c>
      <c r="BA20" s="42">
        <f>_xlfn.RANK.EQ(TabSLS[[#This Row],[:19]],TabSLS[[:1]:[:37]],0)</f>
        <v>210</v>
      </c>
      <c r="BB20" s="42">
        <f>_xlfn.RANK.EQ(TabSLS[[#This Row],[:21]],TabSLS[[:1]:[:37]],0)</f>
        <v>210</v>
      </c>
      <c r="BC20" s="42">
        <f>_xlfn.RANK.EQ(TabSLS[[#This Row],[:23]],TabSLS[[:1]:[:37]],0)</f>
        <v>210</v>
      </c>
      <c r="BD20" s="42">
        <f>_xlfn.RANK.EQ(TabSLS[[#This Row],[:25]],TabSLS[[:1]:[:37]],0)</f>
        <v>210</v>
      </c>
      <c r="BE20" s="42">
        <f>_xlfn.RANK.EQ(TabSLS[[#This Row],[:27]],TabSLS[[:1]:[:37]],0)</f>
        <v>210</v>
      </c>
      <c r="BF20" s="42">
        <f>_xlfn.RANK.EQ(TabSLS[[#This Row],[:29]],TabSLS[[:1]:[:37]],0)</f>
        <v>210</v>
      </c>
      <c r="BG20" s="42">
        <f>_xlfn.RANK.EQ(TabSLS[[#This Row],[:31]],TabSLS[[:1]:[:37]],0)</f>
        <v>210</v>
      </c>
      <c r="BH20" s="42">
        <f>_xlfn.RANK.EQ(TabSLS[[#This Row],[:33]],TabSLS[[:1]:[:37]],0)</f>
        <v>210</v>
      </c>
      <c r="BI20" s="42">
        <f>_xlfn.RANK.EQ(TabSLS[[#This Row],[:35]],TabSLS[[:1]:[:37]],0)</f>
        <v>210</v>
      </c>
      <c r="BJ20" s="43">
        <f>_xlfn.RANK.EQ(TabSLS[[#This Row],[:37]],TabSLS[[:1]:[:37]],0)</f>
        <v>210</v>
      </c>
      <c r="BK20" s="44" t="str">
        <f>IF(TabSLS[[#This Row],[R1]]&lt;=Sitze_Ausschuss,IF(TabSLS[[#This Row],[R1]]+COUNTIF(TabSLS[[R1]:[R37]],TabSLS[[#This Row],[R1]])-1&lt;=Sitze_Ausschuss,"SITZ","PATT"),"")</f>
        <v/>
      </c>
      <c r="BL20" s="45" t="str">
        <f>IF(TabSLS[[#This Row],[R3]]&lt;=Sitze_Ausschuss,IF(TabSLS[[#This Row],[R3]]+COUNTIF(TabSLS[[R1]:[R37]],TabSLS[[#This Row],[R3]])-1&lt;=Sitze_Ausschuss,"SITZ","PATT"),"")</f>
        <v/>
      </c>
      <c r="BM20" s="45" t="str">
        <f>IF(TabSLS[[#This Row],[R5]]&lt;=Sitze_Ausschuss,IF(TabSLS[[#This Row],[R5]]+COUNTIF(TabSLS[[R1]:[R37]],TabSLS[[#This Row],[R5]])-1&lt;=Sitze_Ausschuss,"SITZ","PATT"),"")</f>
        <v/>
      </c>
      <c r="BN20" s="45" t="str">
        <f>IF(TabSLS[[#This Row],[R7]]&lt;=Sitze_Ausschuss,IF(TabSLS[[#This Row],[R7]]+COUNTIF(TabSLS[[R1]:[R37]],TabSLS[[#This Row],[R7]])-1&lt;=Sitze_Ausschuss,"SITZ","PATT"),"")</f>
        <v/>
      </c>
      <c r="BO20" s="45" t="str">
        <f>IF(TabSLS[[#This Row],[R9]]&lt;=Sitze_Ausschuss,IF(TabSLS[[#This Row],[R9]]+COUNTIF(TabSLS[[R1]:[R37]],TabSLS[[#This Row],[R9]])-1&lt;=Sitze_Ausschuss,"SITZ","PATT"),"")</f>
        <v/>
      </c>
      <c r="BP20" s="45" t="str">
        <f>IF(TabSLS[[#This Row],[R11]]&lt;=Sitze_Ausschuss,IF(TabSLS[[#This Row],[R11]]+COUNTIF(TabSLS[[R1]:[R37]],TabSLS[[#This Row],[R11]])-1&lt;=Sitze_Ausschuss,"SITZ","PATT"),"")</f>
        <v/>
      </c>
      <c r="BQ20" s="45" t="str">
        <f>IF(TabSLS[[#This Row],[R13]]&lt;=Sitze_Ausschuss,IF(TabSLS[[#This Row],[R13]]+COUNTIF(TabSLS[[R1]:[R37]],TabSLS[[#This Row],[R13]])-1&lt;=Sitze_Ausschuss,"SITZ","PATT"),"")</f>
        <v/>
      </c>
      <c r="BR20" s="45" t="str">
        <f>IF(TabSLS[[#This Row],[R15]]&lt;=Sitze_Ausschuss,IF(TabSLS[[#This Row],[R15]]+COUNTIF(TabSLS[[R1]:[R37]],TabSLS[[#This Row],[R15]])-1&lt;=Sitze_Ausschuss,"SITZ","PATT"),"")</f>
        <v/>
      </c>
      <c r="BS20" s="45" t="str">
        <f>IF(TabSLS[[#This Row],[R17]]&lt;=Sitze_Ausschuss,IF(TabSLS[[#This Row],[R17]]+COUNTIF(TabSLS[[R1]:[R37]],TabSLS[[#This Row],[R17]])-1&lt;=Sitze_Ausschuss,"SITZ","PATT"),"")</f>
        <v/>
      </c>
      <c r="BT20" s="45" t="str">
        <f>IF(TabSLS[[#This Row],[R19]]&lt;=Sitze_Ausschuss,IF(TabSLS[[#This Row],[R19]]+COUNTIF(TabSLS[[R1]:[R37]],TabSLS[[#This Row],[R19]])-1&lt;=Sitze_Ausschuss,"SITZ","PATT"),"")</f>
        <v/>
      </c>
      <c r="BU20" s="45" t="str">
        <f>IF(TabSLS[[#This Row],[R21]]&lt;=Sitze_Ausschuss,IF(TabSLS[[#This Row],[R21]]+COUNTIF(TabSLS[[R1]:[R37]],TabSLS[[#This Row],[R21]])-1&lt;=Sitze_Ausschuss,"SITZ","PATT"),"")</f>
        <v/>
      </c>
      <c r="BV20" s="45" t="str">
        <f>IF(TabSLS[[#This Row],[R23]]&lt;=Sitze_Ausschuss,IF(TabSLS[[#This Row],[R23]]+COUNTIF(TabSLS[[R1]:[R37]],TabSLS[[#This Row],[R23]])-1&lt;=Sitze_Ausschuss,"SITZ","PATT"),"")</f>
        <v/>
      </c>
      <c r="BW20" s="45" t="str">
        <f>IF(TabSLS[[#This Row],[R25]]&lt;=Sitze_Ausschuss,IF(TabSLS[[#This Row],[R25]]+COUNTIF(TabSLS[[R1]:[R37]],TabSLS[[#This Row],[R25]])-1&lt;=Sitze_Ausschuss,"SITZ","PATT"),"")</f>
        <v/>
      </c>
      <c r="BX20" s="45" t="str">
        <f>IF(TabSLS[[#This Row],[R27]]&lt;=Sitze_Ausschuss,IF(TabSLS[[#This Row],[R27]]+COUNTIF(TabSLS[[R1]:[R37]],TabSLS[[#This Row],[R27]])-1&lt;=Sitze_Ausschuss,"SITZ","PATT"),"")</f>
        <v/>
      </c>
      <c r="BY20" s="45" t="str">
        <f>IF(TabSLS[[#This Row],[R29]]&lt;=Sitze_Ausschuss,IF(TabSLS[[#This Row],[R29]]+COUNTIF(TabSLS[[R1]:[R37]],TabSLS[[#This Row],[R29]])-1&lt;=Sitze_Ausschuss,"SITZ","PATT"),"")</f>
        <v/>
      </c>
      <c r="BZ20" s="45" t="str">
        <f>IF(TabSLS[[#This Row],[R31]]&lt;=Sitze_Ausschuss,IF(TabSLS[[#This Row],[R31]]+COUNTIF(TabSLS[[R1]:[R37]],TabSLS[[#This Row],[R31]])-1&lt;=Sitze_Ausschuss,"SITZ","PATT"),"")</f>
        <v/>
      </c>
      <c r="CA20" s="45" t="str">
        <f>IF(TabSLS[[#This Row],[R33]]&lt;=Sitze_Ausschuss,IF(TabSLS[[#This Row],[R33]]+COUNTIF(TabSLS[[R1]:[R37]],TabSLS[[#This Row],[R33]])-1&lt;=Sitze_Ausschuss,"SITZ","PATT"),"")</f>
        <v/>
      </c>
      <c r="CB20" s="45" t="str">
        <f>IF(TabSLS[[#This Row],[R35]]&lt;=Sitze_Ausschuss,IF(TabSLS[[#This Row],[R35]]+COUNTIF(TabSLS[[R1]:[R37]],TabSLS[[#This Row],[R35]])-1&lt;=Sitze_Ausschuss,"SITZ","PATT"),"")</f>
        <v/>
      </c>
      <c r="CC20" s="46" t="str">
        <f>IF(TabSLS[[#This Row],[R37]]&lt;=Sitze_Ausschuss,IF(TabSLS[[#This Row],[R37]]+COUNTIF(TabSLS[[R1]:[R37]],TabSLS[[#This Row],[R37]])-1&lt;=Sitze_Ausschuss,"SITZ","PATT"),"")</f>
        <v/>
      </c>
      <c r="CD20" s="47" t="b">
        <f>COUNTIF(TabSLS[[#This Row],[SP1]:[SP37]],"PATT")&gt;0</f>
        <v>0</v>
      </c>
      <c r="CE20" s="33">
        <f>IF(TabSLS[[#This Row],[Patt?]],(Sitze_Ausschuss-SUM(TabSLS[Sitze]))/TabSLS[[#Totals],[Patt?]],0)</f>
        <v>0</v>
      </c>
      <c r="CF20" s="48">
        <f>TabSLS[[#This Row],[Patt?]]*IF(Pattaufloesung="Stimmen",TabPatt[[#This Row],[Stimmen]],0)*1</f>
        <v>0</v>
      </c>
      <c r="CG20" s="49" t="b">
        <f>_xlfn.RANK.EQ(TabSLS[[#This Row],[Stimmen Gelost]],TabSLS[Stimmen Gelost],0)&lt;=(Sitze_Ausschuss-SUM(TabSLS[Sitze]))</f>
        <v>0</v>
      </c>
      <c r="CH20" s="50" t="b">
        <f>OR(TabSLS[[#This Row],[Sitze]]&lt;ROUNDDOWN(Grunddaten[[#This Row],[Proporzgenaue Zahl Ausschuss]],0),TabSLS[[#This Row],[Sitze]]+(TabSLS[[#This Row],[Patt?]]*1)&gt;ROUNDUP(Grunddaten[[#This Row],[Proporzgenaue Zahl Ausschuss]],0))</f>
        <v>0</v>
      </c>
      <c r="CI20" s="57"/>
      <c r="CJ20" s="36">
        <f>COUNTIF(TabDH[[#This Row],[SP1]:[SP19]],"SITZ")</f>
        <v>0</v>
      </c>
      <c r="CK20" s="37">
        <f>IF(TabDH[[#This Row],[Patt]],IF(Pattaufloesung="Los-Chance",TabDH[[#This Row],[Los Chance]],TabDH[[#This Row],[Pattgewinn]]+0),0)</f>
        <v>0</v>
      </c>
      <c r="CL20" s="38">
        <f>Grunddaten[[#This Row],[Sitze im Hauptorgan]]/_xlfn.NUMBERVALUE(MID(INDEX(TabDH[[#Headers],[:1]:[:19]],COLUMN()-COLUMN(TabDH[[#Headers],[:1]])+1),2,3))</f>
        <v>0</v>
      </c>
      <c r="CM20" s="39">
        <f>Grunddaten[[#This Row],[Sitze im Hauptorgan]]/_xlfn.NUMBERVALUE(MID(INDEX(TabDH[[#Headers],[:1]:[:19]],COLUMN()-COLUMN(TabDH[[#Headers],[:1]])+1),2,3))</f>
        <v>0</v>
      </c>
      <c r="CN20" s="39">
        <f>Grunddaten[[#This Row],[Sitze im Hauptorgan]]/_xlfn.NUMBERVALUE(MID(INDEX(TabDH[[#Headers],[:1]:[:19]],COLUMN()-COLUMN(TabDH[[#Headers],[:1]])+1),2,3))</f>
        <v>0</v>
      </c>
      <c r="CO20" s="39">
        <f>Grunddaten[[#This Row],[Sitze im Hauptorgan]]/_xlfn.NUMBERVALUE(MID(INDEX(TabDH[[#Headers],[:1]:[:19]],COLUMN()-COLUMN(TabDH[[#Headers],[:1]])+1),2,3))</f>
        <v>0</v>
      </c>
      <c r="CP20" s="39">
        <f>Grunddaten[[#This Row],[Sitze im Hauptorgan]]/_xlfn.NUMBERVALUE(MID(INDEX(TabDH[[#Headers],[:1]:[:19]],COLUMN()-COLUMN(TabDH[[#Headers],[:1]])+1),2,3))</f>
        <v>0</v>
      </c>
      <c r="CQ20" s="39">
        <f>Grunddaten[[#This Row],[Sitze im Hauptorgan]]/_xlfn.NUMBERVALUE(MID(INDEX(TabDH[[#Headers],[:1]:[:19]],COLUMN()-COLUMN(TabDH[[#Headers],[:1]])+1),2,3))</f>
        <v>0</v>
      </c>
      <c r="CR20" s="39">
        <f>Grunddaten[[#This Row],[Sitze im Hauptorgan]]/_xlfn.NUMBERVALUE(MID(INDEX(TabDH[[#Headers],[:1]:[:19]],COLUMN()-COLUMN(TabDH[[#Headers],[:1]])+1),2,3))</f>
        <v>0</v>
      </c>
      <c r="CS20" s="39">
        <f>Grunddaten[[#This Row],[Sitze im Hauptorgan]]/_xlfn.NUMBERVALUE(MID(INDEX(TabDH[[#Headers],[:1]:[:19]],COLUMN()-COLUMN(TabDH[[#Headers],[:1]])+1),2,3))</f>
        <v>0</v>
      </c>
      <c r="CT20" s="39">
        <f>Grunddaten[[#This Row],[Sitze im Hauptorgan]]/_xlfn.NUMBERVALUE(MID(INDEX(TabDH[[#Headers],[:1]:[:19]],COLUMN()-COLUMN(TabDH[[#Headers],[:1]])+1),2,3))</f>
        <v>0</v>
      </c>
      <c r="CU20" s="39">
        <f>Grunddaten[[#This Row],[Sitze im Hauptorgan]]/_xlfn.NUMBERVALUE(MID(INDEX(TabDH[[#Headers],[:1]:[:19]],COLUMN()-COLUMN(TabDH[[#Headers],[:1]])+1),2,3))</f>
        <v>0</v>
      </c>
      <c r="CV20" s="39">
        <f>Grunddaten[[#This Row],[Sitze im Hauptorgan]]/_xlfn.NUMBERVALUE(MID(INDEX(TabDH[[#Headers],[:1]:[:19]],COLUMN()-COLUMN(TabDH[[#Headers],[:1]])+1),2,3))</f>
        <v>0</v>
      </c>
      <c r="CW20" s="39">
        <f>Grunddaten[[#This Row],[Sitze im Hauptorgan]]/_xlfn.NUMBERVALUE(MID(INDEX(TabDH[[#Headers],[:1]:[:19]],COLUMN()-COLUMN(TabDH[[#Headers],[:1]])+1),2,3))</f>
        <v>0</v>
      </c>
      <c r="CX20" s="39">
        <f>Grunddaten[[#This Row],[Sitze im Hauptorgan]]/_xlfn.NUMBERVALUE(MID(INDEX(TabDH[[#Headers],[:1]:[:19]],COLUMN()-COLUMN(TabDH[[#Headers],[:1]])+1),2,3))</f>
        <v>0</v>
      </c>
      <c r="CY20" s="39">
        <f>Grunddaten[[#This Row],[Sitze im Hauptorgan]]/_xlfn.NUMBERVALUE(MID(INDEX(TabDH[[#Headers],[:1]:[:19]],COLUMN()-COLUMN(TabDH[[#Headers],[:1]])+1),2,3))</f>
        <v>0</v>
      </c>
      <c r="CZ20" s="39">
        <f>Grunddaten[[#This Row],[Sitze im Hauptorgan]]/_xlfn.NUMBERVALUE(MID(INDEX(TabDH[[#Headers],[:1]:[:19]],COLUMN()-COLUMN(TabDH[[#Headers],[:1]])+1),2,3))</f>
        <v>0</v>
      </c>
      <c r="DA20" s="39">
        <f>Grunddaten[[#This Row],[Sitze im Hauptorgan]]/_xlfn.NUMBERVALUE(MID(INDEX(TabDH[[#Headers],[:1]:[:19]],COLUMN()-COLUMN(TabDH[[#Headers],[:1]])+1),2,3))</f>
        <v>0</v>
      </c>
      <c r="DB20" s="39">
        <f>Grunddaten[[#This Row],[Sitze im Hauptorgan]]/_xlfn.NUMBERVALUE(MID(INDEX(TabDH[[#Headers],[:1]:[:19]],COLUMN()-COLUMN(TabDH[[#Headers],[:1]])+1),2,3))</f>
        <v>0</v>
      </c>
      <c r="DC20" s="39">
        <f>Grunddaten[[#This Row],[Sitze im Hauptorgan]]/_xlfn.NUMBERVALUE(MID(INDEX(TabDH[[#Headers],[:1]:[:19]],COLUMN()-COLUMN(TabDH[[#Headers],[:1]])+1),2,3))</f>
        <v>0</v>
      </c>
      <c r="DD20" s="40">
        <f>Grunddaten[[#This Row],[Sitze im Hauptorgan]]/_xlfn.NUMBERVALUE(MID(INDEX(TabDH[[#Headers],[:1]:[:19]],COLUMN()-COLUMN(TabDH[[#Headers],[:1]])+1),2,3))</f>
        <v>0</v>
      </c>
      <c r="DE20" s="41">
        <f>_xlfn.RANK.EQ(TabDH[[#This Row],[:1]],TabDH[[:1]:[:19]],0)</f>
        <v>210</v>
      </c>
      <c r="DF20" s="42">
        <f>_xlfn.RANK.EQ(TabDH[[#This Row],[:2]],TabDH[[:1]:[:19]],0)</f>
        <v>210</v>
      </c>
      <c r="DG20" s="42">
        <f>_xlfn.RANK.EQ(TabDH[[#This Row],[:3]],TabDH[[:1]:[:19]],0)</f>
        <v>210</v>
      </c>
      <c r="DH20" s="42">
        <f>_xlfn.RANK.EQ(TabDH[[#This Row],[:4]],TabDH[[:1]:[:19]],0)</f>
        <v>210</v>
      </c>
      <c r="DI20" s="42">
        <f>_xlfn.RANK.EQ(TabDH[[#This Row],[:5]],TabDH[[:1]:[:19]],0)</f>
        <v>210</v>
      </c>
      <c r="DJ20" s="42">
        <f>_xlfn.RANK.EQ(TabDH[[#This Row],[:6]],TabDH[[:1]:[:19]],0)</f>
        <v>210</v>
      </c>
      <c r="DK20" s="42">
        <f>_xlfn.RANK.EQ(TabDH[[#This Row],[:7]],TabDH[[:1]:[:19]],0)</f>
        <v>210</v>
      </c>
      <c r="DL20" s="42">
        <f>_xlfn.RANK.EQ(TabDH[[#This Row],[:8]],TabDH[[:1]:[:19]],0)</f>
        <v>210</v>
      </c>
      <c r="DM20" s="42">
        <f>_xlfn.RANK.EQ(TabDH[[#This Row],[:9]],TabDH[[:1]:[:19]],0)</f>
        <v>210</v>
      </c>
      <c r="DN20" s="42">
        <f>_xlfn.RANK.EQ(TabDH[[#This Row],[:10]],TabDH[[:1]:[:19]],0)</f>
        <v>210</v>
      </c>
      <c r="DO20" s="42">
        <f>_xlfn.RANK.EQ(TabDH[[#This Row],[:11]],TabDH[[:1]:[:19]],0)</f>
        <v>210</v>
      </c>
      <c r="DP20" s="42">
        <f>_xlfn.RANK.EQ(TabDH[[#This Row],[:12]],TabDH[[:1]:[:19]],0)</f>
        <v>210</v>
      </c>
      <c r="DQ20" s="42">
        <f>_xlfn.RANK.EQ(TabDH[[#This Row],[:13]],TabDH[[:1]:[:19]],0)</f>
        <v>210</v>
      </c>
      <c r="DR20" s="42">
        <f>_xlfn.RANK.EQ(TabDH[[#This Row],[:14]],TabDH[[:1]:[:19]],0)</f>
        <v>210</v>
      </c>
      <c r="DS20" s="42">
        <f>_xlfn.RANK.EQ(TabDH[[#This Row],[:15]],TabDH[[:1]:[:19]],0)</f>
        <v>210</v>
      </c>
      <c r="DT20" s="42">
        <f>_xlfn.RANK.EQ(TabDH[[#This Row],[:16]],TabDH[[:1]:[:19]],0)</f>
        <v>210</v>
      </c>
      <c r="DU20" s="42">
        <f>_xlfn.RANK.EQ(TabDH[[#This Row],[:17]],TabDH[[:1]:[:19]],0)</f>
        <v>210</v>
      </c>
      <c r="DV20" s="42">
        <f>_xlfn.RANK.EQ(TabDH[[#This Row],[:18]],TabDH[[:1]:[:19]],0)</f>
        <v>210</v>
      </c>
      <c r="DW20" s="43">
        <f>_xlfn.RANK.EQ(TabDH[[#This Row],[:19]],TabDH[[:1]:[:19]],0)</f>
        <v>210</v>
      </c>
      <c r="DX20" s="44" t="str">
        <f>IF(TabDH[[#This Row],[R1]]&lt;=Sitze_Ausschuss,IF(TabDH[[#This Row],[R1]]+COUNTIF(TabDH[[R1]:[R19]],TabDH[[#This Row],[R1]])-1&lt;=Sitze_Ausschuss,"SITZ","PATT"),"")</f>
        <v/>
      </c>
      <c r="DY20" s="45" t="str">
        <f>IF(TabDH[[#This Row],[R2]]&lt;=Sitze_Ausschuss,IF(TabDH[[#This Row],[R2]]+COUNTIF(TabDH[[R1]:[R19]],TabDH[[#This Row],[R2]])-1&lt;=Sitze_Ausschuss,"SITZ","PATT"),"")</f>
        <v/>
      </c>
      <c r="DZ20" s="45" t="str">
        <f>IF(TabDH[[#This Row],[R3]]&lt;=Sitze_Ausschuss,IF(TabDH[[#This Row],[R3]]+COUNTIF(TabDH[[R1]:[R19]],TabDH[[#This Row],[R3]])-1&lt;=Sitze_Ausschuss,"SITZ","PATT"),"")</f>
        <v/>
      </c>
      <c r="EA20" s="45" t="str">
        <f>IF(TabDH[[#This Row],[R4]]&lt;=Sitze_Ausschuss,IF(TabDH[[#This Row],[R4]]+COUNTIF(TabDH[[R1]:[R19]],TabDH[[#This Row],[R4]])-1&lt;=Sitze_Ausschuss,"SITZ","PATT"),"")</f>
        <v/>
      </c>
      <c r="EB20" s="45" t="str">
        <f>IF(TabDH[[#This Row],[R5]]&lt;=Sitze_Ausschuss,IF(TabDH[[#This Row],[R5]]+COUNTIF(TabDH[[R1]:[R19]],TabDH[[#This Row],[R5]])-1&lt;=Sitze_Ausschuss,"SITZ","PATT"),"")</f>
        <v/>
      </c>
      <c r="EC20" s="45" t="str">
        <f>IF(TabDH[[#This Row],[R6]]&lt;=Sitze_Ausschuss,IF(TabDH[[#This Row],[R6]]+COUNTIF(TabDH[[R1]:[R19]],TabDH[[#This Row],[R6]])-1&lt;=Sitze_Ausschuss,"SITZ","PATT"),"")</f>
        <v/>
      </c>
      <c r="ED20" s="45" t="str">
        <f>IF(TabDH[[#This Row],[R7]]&lt;=Sitze_Ausschuss,IF(TabDH[[#This Row],[R7]]+COUNTIF(TabDH[[R1]:[R19]],TabDH[[#This Row],[R7]])-1&lt;=Sitze_Ausschuss,"SITZ","PATT"),"")</f>
        <v/>
      </c>
      <c r="EE20" s="45" t="str">
        <f>IF(TabDH[[#This Row],[R8]]&lt;=Sitze_Ausschuss,IF(TabDH[[#This Row],[R8]]+COUNTIF(TabDH[[R1]:[R19]],TabDH[[#This Row],[R8]])-1&lt;=Sitze_Ausschuss,"SITZ","PATT"),"")</f>
        <v/>
      </c>
      <c r="EF20" s="45" t="str">
        <f>IF(TabDH[[#This Row],[R9]]&lt;=Sitze_Ausschuss,IF(TabDH[[#This Row],[R9]]+COUNTIF(TabDH[[R1]:[R19]],TabDH[[#This Row],[R9]])-1&lt;=Sitze_Ausschuss,"SITZ","PATT"),"")</f>
        <v/>
      </c>
      <c r="EG20" s="45" t="str">
        <f>IF(TabDH[[#This Row],[R10]]&lt;=Sitze_Ausschuss,IF(TabDH[[#This Row],[R10]]+COUNTIF(TabDH[[R1]:[R19]],TabDH[[#This Row],[R10]])-1&lt;=Sitze_Ausschuss,"SITZ","PATT"),"")</f>
        <v/>
      </c>
      <c r="EH20" s="45" t="str">
        <f>IF(TabDH[[#This Row],[R11]]&lt;=Sitze_Ausschuss,IF(TabDH[[#This Row],[R11]]+COUNTIF(TabDH[[R1]:[R19]],TabDH[[#This Row],[R11]])-1&lt;=Sitze_Ausschuss,"SITZ","PATT"),"")</f>
        <v/>
      </c>
      <c r="EI20" s="45" t="str">
        <f>IF(TabDH[[#This Row],[R12]]&lt;=Sitze_Ausschuss,IF(TabDH[[#This Row],[R12]]+COUNTIF(TabDH[[R1]:[R19]],TabDH[[#This Row],[R12]])-1&lt;=Sitze_Ausschuss,"SITZ","PATT"),"")</f>
        <v/>
      </c>
      <c r="EJ20" s="45" t="str">
        <f>IF(TabDH[[#This Row],[R13]]&lt;=Sitze_Ausschuss,IF(TabDH[[#This Row],[R13]]+COUNTIF(TabDH[[R1]:[R19]],TabDH[[#This Row],[R13]])-1&lt;=Sitze_Ausschuss,"SITZ","PATT"),"")</f>
        <v/>
      </c>
      <c r="EK20" s="45" t="str">
        <f>IF(TabDH[[#This Row],[R14]]&lt;=Sitze_Ausschuss,IF(TabDH[[#This Row],[R14]]+COUNTIF(TabDH[[R1]:[R19]],TabDH[[#This Row],[R14]])-1&lt;=Sitze_Ausschuss,"SITZ","PATT"),"")</f>
        <v/>
      </c>
      <c r="EL20" s="45" t="str">
        <f>IF(TabDH[[#This Row],[R15]]&lt;=Sitze_Ausschuss,IF(TabDH[[#This Row],[R15]]+COUNTIF(TabDH[[R1]:[R19]],TabDH[[#This Row],[R15]])-1&lt;=Sitze_Ausschuss,"SITZ","PATT"),"")</f>
        <v/>
      </c>
      <c r="EM20" s="45" t="str">
        <f>IF(TabDH[[#This Row],[R16]]&lt;=Sitze_Ausschuss,IF(TabDH[[#This Row],[R16]]+COUNTIF(TabDH[[R1]:[R19]],TabDH[[#This Row],[R16]])-1&lt;=Sitze_Ausschuss,"SITZ","PATT"),"")</f>
        <v/>
      </c>
      <c r="EN20" s="45" t="str">
        <f>IF(TabDH[[#This Row],[R17]]&lt;=Sitze_Ausschuss,IF(TabDH[[#This Row],[R17]]+COUNTIF(TabDH[[R1]:[R19]],TabDH[[#This Row],[R17]])-1&lt;=Sitze_Ausschuss,"SITZ","PATT"),"")</f>
        <v/>
      </c>
      <c r="EO20" s="45" t="str">
        <f>IF(TabDH[[#This Row],[R18]]&lt;=Sitze_Ausschuss,IF(TabDH[[#This Row],[R18]]+COUNTIF(TabDH[[R1]:[R19]],TabDH[[#This Row],[R18]])-1&lt;=Sitze_Ausschuss,"SITZ","PATT"),"")</f>
        <v/>
      </c>
      <c r="EP20" s="45" t="str">
        <f>IF(TabDH[[#This Row],[R19]]&lt;=Sitze_Ausschuss,IF(TabDH[[#This Row],[R19]]+COUNTIF(TabDH[[R1]:[R19]],TabDH[[#This Row],[R19]])-1&lt;=Sitze_Ausschuss,"SITZ","PATT"),"")</f>
        <v/>
      </c>
      <c r="EQ20" s="47" t="b">
        <f>COUNTIF(TabDH[[#This Row],[SP1]:[SP19]],"PATT")&gt;0</f>
        <v>0</v>
      </c>
      <c r="ER20" s="33">
        <f>IF(TabDH[[#This Row],[Patt]],(Sitze_Ausschuss-SUM(TabDH[Sitze]))/TabDH[[#Totals],[Patt]],0)</f>
        <v>0</v>
      </c>
      <c r="ES20" s="48">
        <f>TabDH[[#This Row],[Patt]]*IF(Pattaufloesung="Stimmen",TabPatt[[#This Row],[Stimmen]],0)*1</f>
        <v>0</v>
      </c>
      <c r="ET20" s="49" t="b">
        <f>_xlfn.RANK.EQ(TabDH[[#This Row],[Stimmen/Gelost]],TabDH[Stimmen/Gelost],0)&lt;=(Sitze_Ausschuss-SUM(TabDH[Sitze]))</f>
        <v>0</v>
      </c>
      <c r="EU20" s="50" t="b">
        <f>OR(TabDH[[#This Row],[Sitze]]&lt;ROUNDDOWN(Grunddaten[[#This Row],[Proporzgenaue Zahl Ausschuss]],0),TabDH[[#This Row],[Sitze]]+(TabDH[[#This Row],[Patt]]*1)&gt;ROUNDUP(Grunddaten[[#This Row],[Proporzgenaue Zahl Ausschuss]],0))</f>
        <v>0</v>
      </c>
      <c r="EV20" s="57"/>
      <c r="EW20" s="51" t="str">
        <f>Grunddaten[[#This Row],[Partei/Wählergruppe]]&amp;""</f>
        <v/>
      </c>
      <c r="EX20" s="71">
        <v>0</v>
      </c>
      <c r="EY20" s="3"/>
      <c r="EZ20" t="b">
        <f>IF(AND(Grunddaten[[#This Row],[Sitze im Hauptorgan]]&gt;0,ISBLANK(Grunddaten[[#This Row],[AG?]])),ROW())</f>
        <v>0</v>
      </c>
      <c r="FA20">
        <f t="shared" si="1"/>
        <v>0</v>
      </c>
      <c r="FB20">
        <f>Grunddaten[[#This Row],[Partei/Wählergruppe]]</f>
        <v>0</v>
      </c>
      <c r="FC20">
        <f>Grunddaten[[#This Row],[Sitze im Hauptorgan]]</f>
        <v>0</v>
      </c>
      <c r="FD20">
        <f>TabPatt[[#This Row],[Stimmen]]</f>
        <v>0</v>
      </c>
      <c r="FE20" t="str">
        <f>IF(Grunddaten[[#This Row],[AG?]]=FE$6,MID(Grunddaten[[#This Row],[Partei/Wählergruppe]],1,3),"")</f>
        <v/>
      </c>
      <c r="FF20" t="str">
        <f>IF(Grunddaten[[#This Row],[AG?]]=FF$6,MID(Grunddaten[[#This Row],[Partei/Wählergruppe]],1,3),"")</f>
        <v/>
      </c>
      <c r="FG20" t="str">
        <f>IF(Grunddaten[[#This Row],[AG?]]=FG$6,MID(Grunddaten[[#This Row],[Partei/Wählergruppe]],1,3),"")</f>
        <v/>
      </c>
      <c r="FH20" t="str">
        <f>IF(Grunddaten[[#This Row],[AG?]]=FH$6,MID(Grunddaten[[#This Row],[Partei/Wählergruppe]],1,3),"")</f>
        <v/>
      </c>
      <c r="FI20" s="154">
        <f>TabHN[[#This Row],[Sitze]]+TabHN[[#This Row],[Patt Auflösung]]</f>
        <v>0</v>
      </c>
      <c r="FJ20" s="154">
        <f>TabSLS[[#This Row],[Sitze]]+TabSLS[[#This Row],[Patt Auflösung]]</f>
        <v>0</v>
      </c>
      <c r="FK20" s="154">
        <f>TabDH[[#This Row],[Sitze]]+TabDH[[#This Row],[Patt Auflösung]]</f>
        <v>0</v>
      </c>
      <c r="FL20" s="154">
        <f t="shared" si="2"/>
        <v>0</v>
      </c>
      <c r="FM20" s="154">
        <f t="shared" si="3"/>
        <v>0</v>
      </c>
      <c r="FN20" t="str">
        <f t="shared" si="4"/>
        <v>K.SITZ</v>
      </c>
    </row>
    <row r="21" spans="1:174" x14ac:dyDescent="0.25">
      <c r="A21" s="3"/>
      <c r="B21" s="70"/>
      <c r="C21" s="71"/>
      <c r="D21" s="71"/>
      <c r="E21" s="93">
        <f>Grunddaten[[#This Row],[Sitze im Hauptorgan]]/Grunddaten[[#Totals],[Sitze im Hauptorgan]]*Sitze_Ausschuss</f>
        <v>0</v>
      </c>
      <c r="F21" s="110" t="b">
        <f>OR(Grunddaten[[#This Row],[Proporzgenaue Zahl Ausschuss]]&gt;=1,Grunddaten[[#This Row],[Sitze im Hauptorgan]]&gt;Sitze_Hauptorgan/(1+Sitze_Ausschuss))</f>
        <v>0</v>
      </c>
      <c r="G21" s="159">
        <f>IF(ROUNDDOWN(Grunddaten[[#This Row],[Proporzgenaue Zahl Ausschuss]],0)&lt;&gt;ROUNDUP(Grunddaten[[#This Row],[Proporzgenaue Zahl Ausschuss]],0), ROUNDDOWN(Grunddaten[[#This Row],[Proporzgenaue Zahl Ausschuss]],0)&amp;" oder "&amp;ROUNDUP(Grunddaten[[#This Row],[Proporzgenaue Zahl Ausschuss]],0),ROUND(Grunddaten[[#This Row],[Proporzgenaue Zahl Ausschuss]],0))</f>
        <v>0</v>
      </c>
      <c r="H21" s="52" t="str">
        <f t="shared" si="0"/>
        <v>OK</v>
      </c>
      <c r="I21" s="52" t="str">
        <f>IF(TabSLS[[#This Row],[QK verletzt]],"NOK","OK")</f>
        <v>OK</v>
      </c>
      <c r="J21" s="53" t="str">
        <f>IF(TabDH[[#This Row],[QK verletzt]],"NOK","OK")</f>
        <v>OK</v>
      </c>
      <c r="K21" s="54"/>
      <c r="L21" s="92">
        <f>TabHN[[#This Row],[S ganz]]+IF(NOT(TabHN[[#This Row],[Patt]]),TabHN[[#This Row],[Restsitz]],0)</f>
        <v>0</v>
      </c>
      <c r="M21" s="29">
        <f>IF(TabHN[[#This Row],[Patt]],IF(Pattaufloesung="Los-Chance",TabHN[[#This Row],[Los Chance]],TabHN[[#This Row],[Pattgewinn]]+0),0)</f>
        <v>0</v>
      </c>
      <c r="N21" s="30">
        <f>INT(Grunddaten[[#This Row],[Proporzgenaue Zahl Ausschuss]])</f>
        <v>0</v>
      </c>
      <c r="O21" s="31">
        <f>ROUND(Grunddaten[[#This Row],[Proporzgenaue Zahl Ausschuss]]-TabHN[[#This Row],[S ganz]],4)</f>
        <v>0</v>
      </c>
      <c r="P21" s="32">
        <f>_xlfn.RANK.EQ(TabHN[[#This Row],[S Rest]],TabHN[S Rest],0)</f>
        <v>10</v>
      </c>
      <c r="Q21" s="30">
        <f>IF(TabHN[[#This Row],[Rng Rest]]&lt;=TabHN[[#Totals],[S Rest]],1,0)</f>
        <v>0</v>
      </c>
      <c r="R21" s="30" t="b">
        <f>AND(TabHN[[#This Row],[Restsitz]]=1,(COUNTIF(TabHN[Rng Rest],TabHN[[#This Row],[Rng Rest]])+TabHN[[#This Row],[Rng Rest]]-1)&gt;TabHN[[#Totals],[S Rest]])</f>
        <v>0</v>
      </c>
      <c r="S21" s="33">
        <f>IF(TabHN[[#This Row],[Patt]],(Sitze_Ausschuss-SUM(TabHN[Sitze]))/TabHN[[#Totals],[Patt]],0)</f>
        <v>0</v>
      </c>
      <c r="T21" s="34">
        <f>TabHN[[#This Row],[Patt]]*IF(Pattaufloesung="Stimmen",TabPatt[[#This Row],[Stimmen]],0)*1</f>
        <v>0</v>
      </c>
      <c r="U21" s="35" t="b">
        <f>_xlfn.RANK.EQ(TabHN[[#This Row],[Stimmen/Gelost]],TabHN[Stimmen/Gelost],0)&lt;=(Sitze_Ausschuss-SUM(TabHN[Sitze]))</f>
        <v>1</v>
      </c>
      <c r="V21" s="55"/>
      <c r="W21" s="36">
        <f>COUNTIF(TabSLS[[#This Row],[SP1]:[SP37]],"SITZ")</f>
        <v>0</v>
      </c>
      <c r="X21" s="37">
        <f>IF(TabSLS[[#This Row],[Patt?]],IF(Pattaufloesung="Los-Chance",TabSLS[[#This Row],[Los Chance]],TabSLS[[#This Row],[Pattgewinn]]+0),0)</f>
        <v>0</v>
      </c>
      <c r="Y21" s="38">
        <f>Grunddaten[[#This Row],[Sitze im Hauptorgan]]/_xlfn.NUMBERVALUE(MID(INDEX(TabSLS[[#Headers],[:1]:[:37]],COLUMN()-COLUMN(TabSLS[[#Headers],[:1]])+1),2,3))</f>
        <v>0</v>
      </c>
      <c r="Z21" s="39">
        <f>Grunddaten[[#This Row],[Sitze im Hauptorgan]]/_xlfn.NUMBERVALUE(MID(INDEX(TabSLS[[#Headers],[:1]:[:37]],COLUMN()-COLUMN(TabSLS[[#Headers],[:1]])+1),2,3))</f>
        <v>0</v>
      </c>
      <c r="AA21" s="39">
        <f>Grunddaten[[#This Row],[Sitze im Hauptorgan]]/_xlfn.NUMBERVALUE(MID(INDEX(TabSLS[[#Headers],[:1]:[:37]],COLUMN()-COLUMN(TabSLS[[#Headers],[:1]])+1),2,3))</f>
        <v>0</v>
      </c>
      <c r="AB21" s="39">
        <f>Grunddaten[[#This Row],[Sitze im Hauptorgan]]/_xlfn.NUMBERVALUE(MID(INDEX(TabSLS[[#Headers],[:1]:[:37]],COLUMN()-COLUMN(TabSLS[[#Headers],[:1]])+1),2,3))</f>
        <v>0</v>
      </c>
      <c r="AC21" s="39">
        <f>Grunddaten[[#This Row],[Sitze im Hauptorgan]]/_xlfn.NUMBERVALUE(MID(INDEX(TabSLS[[#Headers],[:1]:[:37]],COLUMN()-COLUMN(TabSLS[[#Headers],[:1]])+1),2,3))</f>
        <v>0</v>
      </c>
      <c r="AD21" s="39">
        <f>Grunddaten[[#This Row],[Sitze im Hauptorgan]]/_xlfn.NUMBERVALUE(MID(INDEX(TabSLS[[#Headers],[:1]:[:37]],COLUMN()-COLUMN(TabSLS[[#Headers],[:1]])+1),2,3))</f>
        <v>0</v>
      </c>
      <c r="AE21" s="39">
        <f>Grunddaten[[#This Row],[Sitze im Hauptorgan]]/_xlfn.NUMBERVALUE(MID(INDEX(TabSLS[[#Headers],[:1]:[:37]],COLUMN()-COLUMN(TabSLS[[#Headers],[:1]])+1),2,3))</f>
        <v>0</v>
      </c>
      <c r="AF21" s="39">
        <f>Grunddaten[[#This Row],[Sitze im Hauptorgan]]/_xlfn.NUMBERVALUE(MID(INDEX(TabSLS[[#Headers],[:1]:[:37]],COLUMN()-COLUMN(TabSLS[[#Headers],[:1]])+1),2,3))</f>
        <v>0</v>
      </c>
      <c r="AG21" s="39">
        <f>Grunddaten[[#This Row],[Sitze im Hauptorgan]]/_xlfn.NUMBERVALUE(MID(INDEX(TabSLS[[#Headers],[:1]:[:37]],COLUMN()-COLUMN(TabSLS[[#Headers],[:1]])+1),2,3))</f>
        <v>0</v>
      </c>
      <c r="AH21" s="39">
        <f>Grunddaten[[#This Row],[Sitze im Hauptorgan]]/_xlfn.NUMBERVALUE(MID(INDEX(TabSLS[[#Headers],[:1]:[:37]],COLUMN()-COLUMN(TabSLS[[#Headers],[:1]])+1),2,3))</f>
        <v>0</v>
      </c>
      <c r="AI21" s="39">
        <f>Grunddaten[[#This Row],[Sitze im Hauptorgan]]/_xlfn.NUMBERVALUE(MID(INDEX(TabSLS[[#Headers],[:1]:[:37]],COLUMN()-COLUMN(TabSLS[[#Headers],[:1]])+1),2,3))</f>
        <v>0</v>
      </c>
      <c r="AJ21" s="39">
        <f>Grunddaten[[#This Row],[Sitze im Hauptorgan]]/_xlfn.NUMBERVALUE(MID(INDEX(TabSLS[[#Headers],[:1]:[:37]],COLUMN()-COLUMN(TabSLS[[#Headers],[:1]])+1),2,3))</f>
        <v>0</v>
      </c>
      <c r="AK21" s="39">
        <f>Grunddaten[[#This Row],[Sitze im Hauptorgan]]/_xlfn.NUMBERVALUE(MID(INDEX(TabSLS[[#Headers],[:1]:[:37]],COLUMN()-COLUMN(TabSLS[[#Headers],[:1]])+1),2,3))</f>
        <v>0</v>
      </c>
      <c r="AL21" s="39">
        <f>Grunddaten[[#This Row],[Sitze im Hauptorgan]]/_xlfn.NUMBERVALUE(MID(INDEX(TabSLS[[#Headers],[:1]:[:37]],COLUMN()-COLUMN(TabSLS[[#Headers],[:1]])+1),2,3))</f>
        <v>0</v>
      </c>
      <c r="AM21" s="39">
        <f>Grunddaten[[#This Row],[Sitze im Hauptorgan]]/_xlfn.NUMBERVALUE(MID(INDEX(TabSLS[[#Headers],[:1]:[:37]],COLUMN()-COLUMN(TabSLS[[#Headers],[:1]])+1),2,3))</f>
        <v>0</v>
      </c>
      <c r="AN21" s="39">
        <f>Grunddaten[[#This Row],[Sitze im Hauptorgan]]/_xlfn.NUMBERVALUE(MID(INDEX(TabSLS[[#Headers],[:1]:[:37]],COLUMN()-COLUMN(TabSLS[[#Headers],[:1]])+1),2,3))</f>
        <v>0</v>
      </c>
      <c r="AO21" s="39">
        <f>Grunddaten[[#This Row],[Sitze im Hauptorgan]]/_xlfn.NUMBERVALUE(MID(INDEX(TabSLS[[#Headers],[:1]:[:37]],COLUMN()-COLUMN(TabSLS[[#Headers],[:1]])+1),2,3))</f>
        <v>0</v>
      </c>
      <c r="AP21" s="39">
        <f>Grunddaten[[#This Row],[Sitze im Hauptorgan]]/_xlfn.NUMBERVALUE(MID(INDEX(TabSLS[[#Headers],[:1]:[:37]],COLUMN()-COLUMN(TabSLS[[#Headers],[:1]])+1),2,3))</f>
        <v>0</v>
      </c>
      <c r="AQ21" s="40">
        <f>Grunddaten[[#This Row],[Sitze im Hauptorgan]]/_xlfn.NUMBERVALUE(MID(INDEX(TabSLS[[#Headers],[:1]:[:37]],COLUMN()-COLUMN(TabSLS[[#Headers],[:1]])+1),2,3))</f>
        <v>0</v>
      </c>
      <c r="AR21" s="41">
        <f>_xlfn.RANK.EQ(TabSLS[[#This Row],[:1]],TabSLS[[:1]:[:37]],0)</f>
        <v>210</v>
      </c>
      <c r="AS21" s="42">
        <f>_xlfn.RANK.EQ(TabSLS[[#This Row],[:3]],TabSLS[[:1]:[:37]],0)</f>
        <v>210</v>
      </c>
      <c r="AT21" s="42">
        <f>_xlfn.RANK.EQ(TabSLS[[#This Row],[:5]],TabSLS[[:1]:[:37]],0)</f>
        <v>210</v>
      </c>
      <c r="AU21" s="42">
        <f>_xlfn.RANK.EQ(TabSLS[[#This Row],[:7]],TabSLS[[:1]:[:37]],0)</f>
        <v>210</v>
      </c>
      <c r="AV21" s="42">
        <f>_xlfn.RANK.EQ(TabSLS[[#This Row],[:9]],TabSLS[[:1]:[:37]],0)</f>
        <v>210</v>
      </c>
      <c r="AW21" s="42">
        <f>_xlfn.RANK.EQ(TabSLS[[#This Row],[:11]],TabSLS[[:1]:[:37]],0)</f>
        <v>210</v>
      </c>
      <c r="AX21" s="42">
        <f>_xlfn.RANK.EQ(TabSLS[[#This Row],[:13]],TabSLS[[:1]:[:37]],0)</f>
        <v>210</v>
      </c>
      <c r="AY21" s="42">
        <f>_xlfn.RANK.EQ(TabSLS[[#This Row],[:15]],TabSLS[[:1]:[:37]],0)</f>
        <v>210</v>
      </c>
      <c r="AZ21" s="42">
        <f>_xlfn.RANK.EQ(TabSLS[[#This Row],[:17]],TabSLS[[:1]:[:37]],0)</f>
        <v>210</v>
      </c>
      <c r="BA21" s="42">
        <f>_xlfn.RANK.EQ(TabSLS[[#This Row],[:19]],TabSLS[[:1]:[:37]],0)</f>
        <v>210</v>
      </c>
      <c r="BB21" s="42">
        <f>_xlfn.RANK.EQ(TabSLS[[#This Row],[:21]],TabSLS[[:1]:[:37]],0)</f>
        <v>210</v>
      </c>
      <c r="BC21" s="42">
        <f>_xlfn.RANK.EQ(TabSLS[[#This Row],[:23]],TabSLS[[:1]:[:37]],0)</f>
        <v>210</v>
      </c>
      <c r="BD21" s="42">
        <f>_xlfn.RANK.EQ(TabSLS[[#This Row],[:25]],TabSLS[[:1]:[:37]],0)</f>
        <v>210</v>
      </c>
      <c r="BE21" s="42">
        <f>_xlfn.RANK.EQ(TabSLS[[#This Row],[:27]],TabSLS[[:1]:[:37]],0)</f>
        <v>210</v>
      </c>
      <c r="BF21" s="42">
        <f>_xlfn.RANK.EQ(TabSLS[[#This Row],[:29]],TabSLS[[:1]:[:37]],0)</f>
        <v>210</v>
      </c>
      <c r="BG21" s="42">
        <f>_xlfn.RANK.EQ(TabSLS[[#This Row],[:31]],TabSLS[[:1]:[:37]],0)</f>
        <v>210</v>
      </c>
      <c r="BH21" s="42">
        <f>_xlfn.RANK.EQ(TabSLS[[#This Row],[:33]],TabSLS[[:1]:[:37]],0)</f>
        <v>210</v>
      </c>
      <c r="BI21" s="42">
        <f>_xlfn.RANK.EQ(TabSLS[[#This Row],[:35]],TabSLS[[:1]:[:37]],0)</f>
        <v>210</v>
      </c>
      <c r="BJ21" s="43">
        <f>_xlfn.RANK.EQ(TabSLS[[#This Row],[:37]],TabSLS[[:1]:[:37]],0)</f>
        <v>210</v>
      </c>
      <c r="BK21" s="44" t="str">
        <f>IF(TabSLS[[#This Row],[R1]]&lt;=Sitze_Ausschuss,IF(TabSLS[[#This Row],[R1]]+COUNTIF(TabSLS[[R1]:[R37]],TabSLS[[#This Row],[R1]])-1&lt;=Sitze_Ausschuss,"SITZ","PATT"),"")</f>
        <v/>
      </c>
      <c r="BL21" s="45" t="str">
        <f>IF(TabSLS[[#This Row],[R3]]&lt;=Sitze_Ausschuss,IF(TabSLS[[#This Row],[R3]]+COUNTIF(TabSLS[[R1]:[R37]],TabSLS[[#This Row],[R3]])-1&lt;=Sitze_Ausschuss,"SITZ","PATT"),"")</f>
        <v/>
      </c>
      <c r="BM21" s="45" t="str">
        <f>IF(TabSLS[[#This Row],[R5]]&lt;=Sitze_Ausschuss,IF(TabSLS[[#This Row],[R5]]+COUNTIF(TabSLS[[R1]:[R37]],TabSLS[[#This Row],[R5]])-1&lt;=Sitze_Ausschuss,"SITZ","PATT"),"")</f>
        <v/>
      </c>
      <c r="BN21" s="45" t="str">
        <f>IF(TabSLS[[#This Row],[R7]]&lt;=Sitze_Ausschuss,IF(TabSLS[[#This Row],[R7]]+COUNTIF(TabSLS[[R1]:[R37]],TabSLS[[#This Row],[R7]])-1&lt;=Sitze_Ausschuss,"SITZ","PATT"),"")</f>
        <v/>
      </c>
      <c r="BO21" s="45" t="str">
        <f>IF(TabSLS[[#This Row],[R9]]&lt;=Sitze_Ausschuss,IF(TabSLS[[#This Row],[R9]]+COUNTIF(TabSLS[[R1]:[R37]],TabSLS[[#This Row],[R9]])-1&lt;=Sitze_Ausschuss,"SITZ","PATT"),"")</f>
        <v/>
      </c>
      <c r="BP21" s="45" t="str">
        <f>IF(TabSLS[[#This Row],[R11]]&lt;=Sitze_Ausschuss,IF(TabSLS[[#This Row],[R11]]+COUNTIF(TabSLS[[R1]:[R37]],TabSLS[[#This Row],[R11]])-1&lt;=Sitze_Ausschuss,"SITZ","PATT"),"")</f>
        <v/>
      </c>
      <c r="BQ21" s="45" t="str">
        <f>IF(TabSLS[[#This Row],[R13]]&lt;=Sitze_Ausschuss,IF(TabSLS[[#This Row],[R13]]+COUNTIF(TabSLS[[R1]:[R37]],TabSLS[[#This Row],[R13]])-1&lt;=Sitze_Ausschuss,"SITZ","PATT"),"")</f>
        <v/>
      </c>
      <c r="BR21" s="45" t="str">
        <f>IF(TabSLS[[#This Row],[R15]]&lt;=Sitze_Ausschuss,IF(TabSLS[[#This Row],[R15]]+COUNTIF(TabSLS[[R1]:[R37]],TabSLS[[#This Row],[R15]])-1&lt;=Sitze_Ausschuss,"SITZ","PATT"),"")</f>
        <v/>
      </c>
      <c r="BS21" s="45" t="str">
        <f>IF(TabSLS[[#This Row],[R17]]&lt;=Sitze_Ausschuss,IF(TabSLS[[#This Row],[R17]]+COUNTIF(TabSLS[[R1]:[R37]],TabSLS[[#This Row],[R17]])-1&lt;=Sitze_Ausschuss,"SITZ","PATT"),"")</f>
        <v/>
      </c>
      <c r="BT21" s="45" t="str">
        <f>IF(TabSLS[[#This Row],[R19]]&lt;=Sitze_Ausschuss,IF(TabSLS[[#This Row],[R19]]+COUNTIF(TabSLS[[R1]:[R37]],TabSLS[[#This Row],[R19]])-1&lt;=Sitze_Ausschuss,"SITZ","PATT"),"")</f>
        <v/>
      </c>
      <c r="BU21" s="45" t="str">
        <f>IF(TabSLS[[#This Row],[R21]]&lt;=Sitze_Ausschuss,IF(TabSLS[[#This Row],[R21]]+COUNTIF(TabSLS[[R1]:[R37]],TabSLS[[#This Row],[R21]])-1&lt;=Sitze_Ausschuss,"SITZ","PATT"),"")</f>
        <v/>
      </c>
      <c r="BV21" s="45" t="str">
        <f>IF(TabSLS[[#This Row],[R23]]&lt;=Sitze_Ausschuss,IF(TabSLS[[#This Row],[R23]]+COUNTIF(TabSLS[[R1]:[R37]],TabSLS[[#This Row],[R23]])-1&lt;=Sitze_Ausschuss,"SITZ","PATT"),"")</f>
        <v/>
      </c>
      <c r="BW21" s="45" t="str">
        <f>IF(TabSLS[[#This Row],[R25]]&lt;=Sitze_Ausschuss,IF(TabSLS[[#This Row],[R25]]+COUNTIF(TabSLS[[R1]:[R37]],TabSLS[[#This Row],[R25]])-1&lt;=Sitze_Ausschuss,"SITZ","PATT"),"")</f>
        <v/>
      </c>
      <c r="BX21" s="45" t="str">
        <f>IF(TabSLS[[#This Row],[R27]]&lt;=Sitze_Ausschuss,IF(TabSLS[[#This Row],[R27]]+COUNTIF(TabSLS[[R1]:[R37]],TabSLS[[#This Row],[R27]])-1&lt;=Sitze_Ausschuss,"SITZ","PATT"),"")</f>
        <v/>
      </c>
      <c r="BY21" s="45" t="str">
        <f>IF(TabSLS[[#This Row],[R29]]&lt;=Sitze_Ausschuss,IF(TabSLS[[#This Row],[R29]]+COUNTIF(TabSLS[[R1]:[R37]],TabSLS[[#This Row],[R29]])-1&lt;=Sitze_Ausschuss,"SITZ","PATT"),"")</f>
        <v/>
      </c>
      <c r="BZ21" s="45" t="str">
        <f>IF(TabSLS[[#This Row],[R31]]&lt;=Sitze_Ausschuss,IF(TabSLS[[#This Row],[R31]]+COUNTIF(TabSLS[[R1]:[R37]],TabSLS[[#This Row],[R31]])-1&lt;=Sitze_Ausschuss,"SITZ","PATT"),"")</f>
        <v/>
      </c>
      <c r="CA21" s="45" t="str">
        <f>IF(TabSLS[[#This Row],[R33]]&lt;=Sitze_Ausschuss,IF(TabSLS[[#This Row],[R33]]+COUNTIF(TabSLS[[R1]:[R37]],TabSLS[[#This Row],[R33]])-1&lt;=Sitze_Ausschuss,"SITZ","PATT"),"")</f>
        <v/>
      </c>
      <c r="CB21" s="45" t="str">
        <f>IF(TabSLS[[#This Row],[R35]]&lt;=Sitze_Ausschuss,IF(TabSLS[[#This Row],[R35]]+COUNTIF(TabSLS[[R1]:[R37]],TabSLS[[#This Row],[R35]])-1&lt;=Sitze_Ausschuss,"SITZ","PATT"),"")</f>
        <v/>
      </c>
      <c r="CC21" s="46" t="str">
        <f>IF(TabSLS[[#This Row],[R37]]&lt;=Sitze_Ausschuss,IF(TabSLS[[#This Row],[R37]]+COUNTIF(TabSLS[[R1]:[R37]],TabSLS[[#This Row],[R37]])-1&lt;=Sitze_Ausschuss,"SITZ","PATT"),"")</f>
        <v/>
      </c>
      <c r="CD21" s="47" t="b">
        <f>COUNTIF(TabSLS[[#This Row],[SP1]:[SP37]],"PATT")&gt;0</f>
        <v>0</v>
      </c>
      <c r="CE21" s="33">
        <f>IF(TabSLS[[#This Row],[Patt?]],(Sitze_Ausschuss-SUM(TabSLS[Sitze]))/TabSLS[[#Totals],[Patt?]],0)</f>
        <v>0</v>
      </c>
      <c r="CF21" s="48">
        <f>TabSLS[[#This Row],[Patt?]]*IF(Pattaufloesung="Stimmen",TabPatt[[#This Row],[Stimmen]],0)*1</f>
        <v>0</v>
      </c>
      <c r="CG21" s="49" t="b">
        <f>_xlfn.RANK.EQ(TabSLS[[#This Row],[Stimmen Gelost]],TabSLS[Stimmen Gelost],0)&lt;=(Sitze_Ausschuss-SUM(TabSLS[Sitze]))</f>
        <v>0</v>
      </c>
      <c r="CH21" s="50" t="b">
        <f>OR(TabSLS[[#This Row],[Sitze]]&lt;ROUNDDOWN(Grunddaten[[#This Row],[Proporzgenaue Zahl Ausschuss]],0),TabSLS[[#This Row],[Sitze]]+(TabSLS[[#This Row],[Patt?]]*1)&gt;ROUNDUP(Grunddaten[[#This Row],[Proporzgenaue Zahl Ausschuss]],0))</f>
        <v>0</v>
      </c>
      <c r="CI21" s="3"/>
      <c r="CJ21" s="36">
        <f>COUNTIF(TabDH[[#This Row],[SP1]:[SP19]],"SITZ")</f>
        <v>0</v>
      </c>
      <c r="CK21" s="37">
        <f>IF(TabDH[[#This Row],[Patt]],IF(Pattaufloesung="Los-Chance",TabDH[[#This Row],[Los Chance]],TabDH[[#This Row],[Pattgewinn]]+0),0)</f>
        <v>0</v>
      </c>
      <c r="CL21" s="38">
        <f>Grunddaten[[#This Row],[Sitze im Hauptorgan]]/_xlfn.NUMBERVALUE(MID(INDEX(TabDH[[#Headers],[:1]:[:19]],COLUMN()-COLUMN(TabDH[[#Headers],[:1]])+1),2,3))</f>
        <v>0</v>
      </c>
      <c r="CM21" s="39">
        <f>Grunddaten[[#This Row],[Sitze im Hauptorgan]]/_xlfn.NUMBERVALUE(MID(INDEX(TabDH[[#Headers],[:1]:[:19]],COLUMN()-COLUMN(TabDH[[#Headers],[:1]])+1),2,3))</f>
        <v>0</v>
      </c>
      <c r="CN21" s="39">
        <f>Grunddaten[[#This Row],[Sitze im Hauptorgan]]/_xlfn.NUMBERVALUE(MID(INDEX(TabDH[[#Headers],[:1]:[:19]],COLUMN()-COLUMN(TabDH[[#Headers],[:1]])+1),2,3))</f>
        <v>0</v>
      </c>
      <c r="CO21" s="39">
        <f>Grunddaten[[#This Row],[Sitze im Hauptorgan]]/_xlfn.NUMBERVALUE(MID(INDEX(TabDH[[#Headers],[:1]:[:19]],COLUMN()-COLUMN(TabDH[[#Headers],[:1]])+1),2,3))</f>
        <v>0</v>
      </c>
      <c r="CP21" s="39">
        <f>Grunddaten[[#This Row],[Sitze im Hauptorgan]]/_xlfn.NUMBERVALUE(MID(INDEX(TabDH[[#Headers],[:1]:[:19]],COLUMN()-COLUMN(TabDH[[#Headers],[:1]])+1),2,3))</f>
        <v>0</v>
      </c>
      <c r="CQ21" s="39">
        <f>Grunddaten[[#This Row],[Sitze im Hauptorgan]]/_xlfn.NUMBERVALUE(MID(INDEX(TabDH[[#Headers],[:1]:[:19]],COLUMN()-COLUMN(TabDH[[#Headers],[:1]])+1),2,3))</f>
        <v>0</v>
      </c>
      <c r="CR21" s="39">
        <f>Grunddaten[[#This Row],[Sitze im Hauptorgan]]/_xlfn.NUMBERVALUE(MID(INDEX(TabDH[[#Headers],[:1]:[:19]],COLUMN()-COLUMN(TabDH[[#Headers],[:1]])+1),2,3))</f>
        <v>0</v>
      </c>
      <c r="CS21" s="39">
        <f>Grunddaten[[#This Row],[Sitze im Hauptorgan]]/_xlfn.NUMBERVALUE(MID(INDEX(TabDH[[#Headers],[:1]:[:19]],COLUMN()-COLUMN(TabDH[[#Headers],[:1]])+1),2,3))</f>
        <v>0</v>
      </c>
      <c r="CT21" s="39">
        <f>Grunddaten[[#This Row],[Sitze im Hauptorgan]]/_xlfn.NUMBERVALUE(MID(INDEX(TabDH[[#Headers],[:1]:[:19]],COLUMN()-COLUMN(TabDH[[#Headers],[:1]])+1),2,3))</f>
        <v>0</v>
      </c>
      <c r="CU21" s="39">
        <f>Grunddaten[[#This Row],[Sitze im Hauptorgan]]/_xlfn.NUMBERVALUE(MID(INDEX(TabDH[[#Headers],[:1]:[:19]],COLUMN()-COLUMN(TabDH[[#Headers],[:1]])+1),2,3))</f>
        <v>0</v>
      </c>
      <c r="CV21" s="39">
        <f>Grunddaten[[#This Row],[Sitze im Hauptorgan]]/_xlfn.NUMBERVALUE(MID(INDEX(TabDH[[#Headers],[:1]:[:19]],COLUMN()-COLUMN(TabDH[[#Headers],[:1]])+1),2,3))</f>
        <v>0</v>
      </c>
      <c r="CW21" s="39">
        <f>Grunddaten[[#This Row],[Sitze im Hauptorgan]]/_xlfn.NUMBERVALUE(MID(INDEX(TabDH[[#Headers],[:1]:[:19]],COLUMN()-COLUMN(TabDH[[#Headers],[:1]])+1),2,3))</f>
        <v>0</v>
      </c>
      <c r="CX21" s="39">
        <f>Grunddaten[[#This Row],[Sitze im Hauptorgan]]/_xlfn.NUMBERVALUE(MID(INDEX(TabDH[[#Headers],[:1]:[:19]],COLUMN()-COLUMN(TabDH[[#Headers],[:1]])+1),2,3))</f>
        <v>0</v>
      </c>
      <c r="CY21" s="39">
        <f>Grunddaten[[#This Row],[Sitze im Hauptorgan]]/_xlfn.NUMBERVALUE(MID(INDEX(TabDH[[#Headers],[:1]:[:19]],COLUMN()-COLUMN(TabDH[[#Headers],[:1]])+1),2,3))</f>
        <v>0</v>
      </c>
      <c r="CZ21" s="39">
        <f>Grunddaten[[#This Row],[Sitze im Hauptorgan]]/_xlfn.NUMBERVALUE(MID(INDEX(TabDH[[#Headers],[:1]:[:19]],COLUMN()-COLUMN(TabDH[[#Headers],[:1]])+1),2,3))</f>
        <v>0</v>
      </c>
      <c r="DA21" s="39">
        <f>Grunddaten[[#This Row],[Sitze im Hauptorgan]]/_xlfn.NUMBERVALUE(MID(INDEX(TabDH[[#Headers],[:1]:[:19]],COLUMN()-COLUMN(TabDH[[#Headers],[:1]])+1),2,3))</f>
        <v>0</v>
      </c>
      <c r="DB21" s="39">
        <f>Grunddaten[[#This Row],[Sitze im Hauptorgan]]/_xlfn.NUMBERVALUE(MID(INDEX(TabDH[[#Headers],[:1]:[:19]],COLUMN()-COLUMN(TabDH[[#Headers],[:1]])+1),2,3))</f>
        <v>0</v>
      </c>
      <c r="DC21" s="39">
        <f>Grunddaten[[#This Row],[Sitze im Hauptorgan]]/_xlfn.NUMBERVALUE(MID(INDEX(TabDH[[#Headers],[:1]:[:19]],COLUMN()-COLUMN(TabDH[[#Headers],[:1]])+1),2,3))</f>
        <v>0</v>
      </c>
      <c r="DD21" s="40">
        <f>Grunddaten[[#This Row],[Sitze im Hauptorgan]]/_xlfn.NUMBERVALUE(MID(INDEX(TabDH[[#Headers],[:1]:[:19]],COLUMN()-COLUMN(TabDH[[#Headers],[:1]])+1),2,3))</f>
        <v>0</v>
      </c>
      <c r="DE21" s="41">
        <f>_xlfn.RANK.EQ(TabDH[[#This Row],[:1]],TabDH[[:1]:[:19]],0)</f>
        <v>210</v>
      </c>
      <c r="DF21" s="42">
        <f>_xlfn.RANK.EQ(TabDH[[#This Row],[:2]],TabDH[[:1]:[:19]],0)</f>
        <v>210</v>
      </c>
      <c r="DG21" s="42">
        <f>_xlfn.RANK.EQ(TabDH[[#This Row],[:3]],TabDH[[:1]:[:19]],0)</f>
        <v>210</v>
      </c>
      <c r="DH21" s="42">
        <f>_xlfn.RANK.EQ(TabDH[[#This Row],[:4]],TabDH[[:1]:[:19]],0)</f>
        <v>210</v>
      </c>
      <c r="DI21" s="42">
        <f>_xlfn.RANK.EQ(TabDH[[#This Row],[:5]],TabDH[[:1]:[:19]],0)</f>
        <v>210</v>
      </c>
      <c r="DJ21" s="42">
        <f>_xlfn.RANK.EQ(TabDH[[#This Row],[:6]],TabDH[[:1]:[:19]],0)</f>
        <v>210</v>
      </c>
      <c r="DK21" s="42">
        <f>_xlfn.RANK.EQ(TabDH[[#This Row],[:7]],TabDH[[:1]:[:19]],0)</f>
        <v>210</v>
      </c>
      <c r="DL21" s="42">
        <f>_xlfn.RANK.EQ(TabDH[[#This Row],[:8]],TabDH[[:1]:[:19]],0)</f>
        <v>210</v>
      </c>
      <c r="DM21" s="42">
        <f>_xlfn.RANK.EQ(TabDH[[#This Row],[:9]],TabDH[[:1]:[:19]],0)</f>
        <v>210</v>
      </c>
      <c r="DN21" s="42">
        <f>_xlfn.RANK.EQ(TabDH[[#This Row],[:10]],TabDH[[:1]:[:19]],0)</f>
        <v>210</v>
      </c>
      <c r="DO21" s="42">
        <f>_xlfn.RANK.EQ(TabDH[[#This Row],[:11]],TabDH[[:1]:[:19]],0)</f>
        <v>210</v>
      </c>
      <c r="DP21" s="42">
        <f>_xlfn.RANK.EQ(TabDH[[#This Row],[:12]],TabDH[[:1]:[:19]],0)</f>
        <v>210</v>
      </c>
      <c r="DQ21" s="42">
        <f>_xlfn.RANK.EQ(TabDH[[#This Row],[:13]],TabDH[[:1]:[:19]],0)</f>
        <v>210</v>
      </c>
      <c r="DR21" s="42">
        <f>_xlfn.RANK.EQ(TabDH[[#This Row],[:14]],TabDH[[:1]:[:19]],0)</f>
        <v>210</v>
      </c>
      <c r="DS21" s="42">
        <f>_xlfn.RANK.EQ(TabDH[[#This Row],[:15]],TabDH[[:1]:[:19]],0)</f>
        <v>210</v>
      </c>
      <c r="DT21" s="42">
        <f>_xlfn.RANK.EQ(TabDH[[#This Row],[:16]],TabDH[[:1]:[:19]],0)</f>
        <v>210</v>
      </c>
      <c r="DU21" s="42">
        <f>_xlfn.RANK.EQ(TabDH[[#This Row],[:17]],TabDH[[:1]:[:19]],0)</f>
        <v>210</v>
      </c>
      <c r="DV21" s="42">
        <f>_xlfn.RANK.EQ(TabDH[[#This Row],[:18]],TabDH[[:1]:[:19]],0)</f>
        <v>210</v>
      </c>
      <c r="DW21" s="43">
        <f>_xlfn.RANK.EQ(TabDH[[#This Row],[:19]],TabDH[[:1]:[:19]],0)</f>
        <v>210</v>
      </c>
      <c r="DX21" s="44" t="str">
        <f>IF(TabDH[[#This Row],[R1]]&lt;=Sitze_Ausschuss,IF(TabDH[[#This Row],[R1]]+COUNTIF(TabDH[[R1]:[R19]],TabDH[[#This Row],[R1]])-1&lt;=Sitze_Ausschuss,"SITZ","PATT"),"")</f>
        <v/>
      </c>
      <c r="DY21" s="45" t="str">
        <f>IF(TabDH[[#This Row],[R2]]&lt;=Sitze_Ausschuss,IF(TabDH[[#This Row],[R2]]+COUNTIF(TabDH[[R1]:[R19]],TabDH[[#This Row],[R2]])-1&lt;=Sitze_Ausschuss,"SITZ","PATT"),"")</f>
        <v/>
      </c>
      <c r="DZ21" s="45" t="str">
        <f>IF(TabDH[[#This Row],[R3]]&lt;=Sitze_Ausschuss,IF(TabDH[[#This Row],[R3]]+COUNTIF(TabDH[[R1]:[R19]],TabDH[[#This Row],[R3]])-1&lt;=Sitze_Ausschuss,"SITZ","PATT"),"")</f>
        <v/>
      </c>
      <c r="EA21" s="45" t="str">
        <f>IF(TabDH[[#This Row],[R4]]&lt;=Sitze_Ausschuss,IF(TabDH[[#This Row],[R4]]+COUNTIF(TabDH[[R1]:[R19]],TabDH[[#This Row],[R4]])-1&lt;=Sitze_Ausschuss,"SITZ","PATT"),"")</f>
        <v/>
      </c>
      <c r="EB21" s="45" t="str">
        <f>IF(TabDH[[#This Row],[R5]]&lt;=Sitze_Ausschuss,IF(TabDH[[#This Row],[R5]]+COUNTIF(TabDH[[R1]:[R19]],TabDH[[#This Row],[R5]])-1&lt;=Sitze_Ausschuss,"SITZ","PATT"),"")</f>
        <v/>
      </c>
      <c r="EC21" s="45" t="str">
        <f>IF(TabDH[[#This Row],[R6]]&lt;=Sitze_Ausschuss,IF(TabDH[[#This Row],[R6]]+COUNTIF(TabDH[[R1]:[R19]],TabDH[[#This Row],[R6]])-1&lt;=Sitze_Ausschuss,"SITZ","PATT"),"")</f>
        <v/>
      </c>
      <c r="ED21" s="45" t="str">
        <f>IF(TabDH[[#This Row],[R7]]&lt;=Sitze_Ausschuss,IF(TabDH[[#This Row],[R7]]+COUNTIF(TabDH[[R1]:[R19]],TabDH[[#This Row],[R7]])-1&lt;=Sitze_Ausschuss,"SITZ","PATT"),"")</f>
        <v/>
      </c>
      <c r="EE21" s="45" t="str">
        <f>IF(TabDH[[#This Row],[R8]]&lt;=Sitze_Ausschuss,IF(TabDH[[#This Row],[R8]]+COUNTIF(TabDH[[R1]:[R19]],TabDH[[#This Row],[R8]])-1&lt;=Sitze_Ausschuss,"SITZ","PATT"),"")</f>
        <v/>
      </c>
      <c r="EF21" s="45" t="str">
        <f>IF(TabDH[[#This Row],[R9]]&lt;=Sitze_Ausschuss,IF(TabDH[[#This Row],[R9]]+COUNTIF(TabDH[[R1]:[R19]],TabDH[[#This Row],[R9]])-1&lt;=Sitze_Ausschuss,"SITZ","PATT"),"")</f>
        <v/>
      </c>
      <c r="EG21" s="45" t="str">
        <f>IF(TabDH[[#This Row],[R10]]&lt;=Sitze_Ausschuss,IF(TabDH[[#This Row],[R10]]+COUNTIF(TabDH[[R1]:[R19]],TabDH[[#This Row],[R10]])-1&lt;=Sitze_Ausschuss,"SITZ","PATT"),"")</f>
        <v/>
      </c>
      <c r="EH21" s="45" t="str">
        <f>IF(TabDH[[#This Row],[R11]]&lt;=Sitze_Ausschuss,IF(TabDH[[#This Row],[R11]]+COUNTIF(TabDH[[R1]:[R19]],TabDH[[#This Row],[R11]])-1&lt;=Sitze_Ausschuss,"SITZ","PATT"),"")</f>
        <v/>
      </c>
      <c r="EI21" s="45" t="str">
        <f>IF(TabDH[[#This Row],[R12]]&lt;=Sitze_Ausschuss,IF(TabDH[[#This Row],[R12]]+COUNTIF(TabDH[[R1]:[R19]],TabDH[[#This Row],[R12]])-1&lt;=Sitze_Ausschuss,"SITZ","PATT"),"")</f>
        <v/>
      </c>
      <c r="EJ21" s="45" t="str">
        <f>IF(TabDH[[#This Row],[R13]]&lt;=Sitze_Ausschuss,IF(TabDH[[#This Row],[R13]]+COUNTIF(TabDH[[R1]:[R19]],TabDH[[#This Row],[R13]])-1&lt;=Sitze_Ausschuss,"SITZ","PATT"),"")</f>
        <v/>
      </c>
      <c r="EK21" s="45" t="str">
        <f>IF(TabDH[[#This Row],[R14]]&lt;=Sitze_Ausschuss,IF(TabDH[[#This Row],[R14]]+COUNTIF(TabDH[[R1]:[R19]],TabDH[[#This Row],[R14]])-1&lt;=Sitze_Ausschuss,"SITZ","PATT"),"")</f>
        <v/>
      </c>
      <c r="EL21" s="45" t="str">
        <f>IF(TabDH[[#This Row],[R15]]&lt;=Sitze_Ausschuss,IF(TabDH[[#This Row],[R15]]+COUNTIF(TabDH[[R1]:[R19]],TabDH[[#This Row],[R15]])-1&lt;=Sitze_Ausschuss,"SITZ","PATT"),"")</f>
        <v/>
      </c>
      <c r="EM21" s="45" t="str">
        <f>IF(TabDH[[#This Row],[R16]]&lt;=Sitze_Ausschuss,IF(TabDH[[#This Row],[R16]]+COUNTIF(TabDH[[R1]:[R19]],TabDH[[#This Row],[R16]])-1&lt;=Sitze_Ausschuss,"SITZ","PATT"),"")</f>
        <v/>
      </c>
      <c r="EN21" s="45" t="str">
        <f>IF(TabDH[[#This Row],[R17]]&lt;=Sitze_Ausschuss,IF(TabDH[[#This Row],[R17]]+COUNTIF(TabDH[[R1]:[R19]],TabDH[[#This Row],[R17]])-1&lt;=Sitze_Ausschuss,"SITZ","PATT"),"")</f>
        <v/>
      </c>
      <c r="EO21" s="45" t="str">
        <f>IF(TabDH[[#This Row],[R18]]&lt;=Sitze_Ausschuss,IF(TabDH[[#This Row],[R18]]+COUNTIF(TabDH[[R1]:[R19]],TabDH[[#This Row],[R18]])-1&lt;=Sitze_Ausschuss,"SITZ","PATT"),"")</f>
        <v/>
      </c>
      <c r="EP21" s="45" t="str">
        <f>IF(TabDH[[#This Row],[R19]]&lt;=Sitze_Ausschuss,IF(TabDH[[#This Row],[R19]]+COUNTIF(TabDH[[R1]:[R19]],TabDH[[#This Row],[R19]])-1&lt;=Sitze_Ausschuss,"SITZ","PATT"),"")</f>
        <v/>
      </c>
      <c r="EQ21" s="47" t="b">
        <f>COUNTIF(TabDH[[#This Row],[SP1]:[SP19]],"PATT")&gt;0</f>
        <v>0</v>
      </c>
      <c r="ER21" s="33">
        <f>IF(TabDH[[#This Row],[Patt]],(Sitze_Ausschuss-SUM(TabDH[Sitze]))/TabDH[[#Totals],[Patt]],0)</f>
        <v>0</v>
      </c>
      <c r="ES21" s="48">
        <f>TabDH[[#This Row],[Patt]]*IF(Pattaufloesung="Stimmen",TabPatt[[#This Row],[Stimmen]],0)*1</f>
        <v>0</v>
      </c>
      <c r="ET21" s="49" t="b">
        <f>_xlfn.RANK.EQ(TabDH[[#This Row],[Stimmen/Gelost]],TabDH[Stimmen/Gelost],0)&lt;=(Sitze_Ausschuss-SUM(TabDH[Sitze]))</f>
        <v>0</v>
      </c>
      <c r="EU21" s="50" t="b">
        <f>OR(TabDH[[#This Row],[Sitze]]&lt;ROUNDDOWN(Grunddaten[[#This Row],[Proporzgenaue Zahl Ausschuss]],0),TabDH[[#This Row],[Sitze]]+(TabDH[[#This Row],[Patt]]*1)&gt;ROUNDUP(Grunddaten[[#This Row],[Proporzgenaue Zahl Ausschuss]],0))</f>
        <v>0</v>
      </c>
      <c r="EV21" s="3"/>
      <c r="EW21" s="51" t="str">
        <f>Grunddaten[[#This Row],[Partei/Wählergruppe]]&amp;""</f>
        <v/>
      </c>
      <c r="EX21" s="71">
        <v>0</v>
      </c>
      <c r="EY21" s="3"/>
      <c r="EZ21" t="b">
        <f>IF(AND(Grunddaten[[#This Row],[Sitze im Hauptorgan]]&gt;0,ISBLANK(Grunddaten[[#This Row],[AG?]])),ROW())</f>
        <v>0</v>
      </c>
      <c r="FA21">
        <f t="shared" si="1"/>
        <v>0</v>
      </c>
      <c r="FB21">
        <f>Grunddaten[[#This Row],[Partei/Wählergruppe]]</f>
        <v>0</v>
      </c>
      <c r="FC21">
        <f>Grunddaten[[#This Row],[Sitze im Hauptorgan]]</f>
        <v>0</v>
      </c>
      <c r="FD21">
        <f>TabPatt[[#This Row],[Stimmen]]</f>
        <v>0</v>
      </c>
      <c r="FE21" t="str">
        <f>IF(Grunddaten[[#This Row],[AG?]]=FE$6,MID(Grunddaten[[#This Row],[Partei/Wählergruppe]],1,3),"")</f>
        <v/>
      </c>
      <c r="FF21" t="str">
        <f>IF(Grunddaten[[#This Row],[AG?]]=FF$6,MID(Grunddaten[[#This Row],[Partei/Wählergruppe]],1,3),"")</f>
        <v/>
      </c>
      <c r="FG21" t="str">
        <f>IF(Grunddaten[[#This Row],[AG?]]=FG$6,MID(Grunddaten[[#This Row],[Partei/Wählergruppe]],1,3),"")</f>
        <v/>
      </c>
      <c r="FH21" t="str">
        <f>IF(Grunddaten[[#This Row],[AG?]]=FH$6,MID(Grunddaten[[#This Row],[Partei/Wählergruppe]],1,3),"")</f>
        <v/>
      </c>
      <c r="FI21" s="154">
        <f>TabHN[[#This Row],[Sitze]]+TabHN[[#This Row],[Patt Auflösung]]</f>
        <v>0</v>
      </c>
      <c r="FJ21" s="154">
        <f>TabSLS[[#This Row],[Sitze]]+TabSLS[[#This Row],[Patt Auflösung]]</f>
        <v>0</v>
      </c>
      <c r="FK21" s="154">
        <f>TabDH[[#This Row],[Sitze]]+TabDH[[#This Row],[Patt Auflösung]]</f>
        <v>0</v>
      </c>
      <c r="FL21" s="154">
        <f t="shared" si="2"/>
        <v>0</v>
      </c>
      <c r="FM21" s="154">
        <f t="shared" si="3"/>
        <v>0</v>
      </c>
      <c r="FN21" t="str">
        <f t="shared" si="4"/>
        <v>K.SITZ</v>
      </c>
    </row>
    <row r="22" spans="1:174" ht="15.75" thickBot="1" x14ac:dyDescent="0.3">
      <c r="A22" s="3"/>
      <c r="B22" s="148" t="s">
        <v>151</v>
      </c>
      <c r="C22" s="149">
        <f>SUBTOTAL(109,Grunddaten[Sitze im Hauptorgan])</f>
        <v>70</v>
      </c>
      <c r="D22" s="149"/>
      <c r="E22" s="150">
        <f>SUBTOTAL(109,Grunddaten[Proporzgenaue Zahl Ausschuss])</f>
        <v>14</v>
      </c>
      <c r="F22" s="166"/>
      <c r="G22" s="63" t="s">
        <v>152</v>
      </c>
      <c r="H22" s="64" t="s">
        <v>152</v>
      </c>
      <c r="I22" s="64" t="s">
        <v>152</v>
      </c>
      <c r="J22" s="65" t="s">
        <v>152</v>
      </c>
      <c r="K22" s="54"/>
      <c r="L22" s="58">
        <f>SUBTOTAL(109,TabHN[Sitze])</f>
        <v>13</v>
      </c>
      <c r="M22" s="59">
        <f>SUBTOTAL(109,TabHN[Patt Auflösung])</f>
        <v>1</v>
      </c>
      <c r="N22" s="60">
        <f>SUBTOTAL(109,TabHN[S ganz])</f>
        <v>10</v>
      </c>
      <c r="O22" s="60">
        <f>ROUND(SUM(TabHN[S Rest]),0)</f>
        <v>4</v>
      </c>
      <c r="P22" s="60"/>
      <c r="Q22" s="60">
        <f>COUNTIF(TabHN[Patt],"=WAHR")*(-1)+SUM(TabHN[Restsitz])</f>
        <v>3</v>
      </c>
      <c r="R22" s="60">
        <f t="array" ref="R22">SUM(TabHN[Patt]*1)</f>
        <v>4</v>
      </c>
      <c r="S22" s="60">
        <f>ROUND(SUM(TabHN[Los Chance]),0)</f>
        <v>1</v>
      </c>
      <c r="T22" s="60"/>
      <c r="U22" s="59"/>
      <c r="V22" s="55"/>
      <c r="W22" s="61">
        <f>SUBTOTAL(109,TabSLS[Sitze])</f>
        <v>14</v>
      </c>
      <c r="X22" s="62">
        <f>SUBTOTAL(109,TabSLS[Patt Auflösung])</f>
        <v>0</v>
      </c>
      <c r="Y22" s="63"/>
      <c r="Z22" s="64"/>
      <c r="AA22" s="64"/>
      <c r="AB22" s="64"/>
      <c r="AC22" s="64"/>
      <c r="AD22" s="64"/>
      <c r="AE22" s="64"/>
      <c r="AF22" s="64"/>
      <c r="AG22" s="64"/>
      <c r="AH22" s="64"/>
      <c r="AI22" s="64"/>
      <c r="AJ22" s="64"/>
      <c r="AK22" s="64"/>
      <c r="AL22" s="64"/>
      <c r="AM22" s="64"/>
      <c r="AN22" s="64"/>
      <c r="AO22" s="64"/>
      <c r="AP22" s="64"/>
      <c r="AQ22" s="65"/>
      <c r="AR22" s="63"/>
      <c r="AS22" s="64"/>
      <c r="AT22" s="64"/>
      <c r="AU22" s="64"/>
      <c r="AV22" s="64"/>
      <c r="AW22" s="64"/>
      <c r="AX22" s="64"/>
      <c r="AY22" s="64"/>
      <c r="AZ22" s="64"/>
      <c r="BA22" s="64"/>
      <c r="BB22" s="64"/>
      <c r="BC22" s="64"/>
      <c r="BD22" s="64"/>
      <c r="BE22" s="64"/>
      <c r="BF22" s="64"/>
      <c r="BG22" s="64"/>
      <c r="BH22" s="64"/>
      <c r="BI22" s="64"/>
      <c r="BJ22" s="65"/>
      <c r="BK22" s="66"/>
      <c r="BL22" s="67"/>
      <c r="BM22" s="67"/>
      <c r="BN22" s="67"/>
      <c r="BO22" s="67"/>
      <c r="BP22" s="67"/>
      <c r="BQ22" s="67"/>
      <c r="BR22" s="67"/>
      <c r="BS22" s="67"/>
      <c r="BT22" s="67"/>
      <c r="BU22" s="67"/>
      <c r="BV22" s="67"/>
      <c r="BW22" s="67"/>
      <c r="BX22" s="67"/>
      <c r="BY22" s="67"/>
      <c r="BZ22" s="67"/>
      <c r="CA22" s="67"/>
      <c r="CB22" s="67"/>
      <c r="CC22" s="68"/>
      <c r="CD22" s="63">
        <f t="array" ref="CD22">SUM(TabSLS[Patt?]*1)</f>
        <v>0</v>
      </c>
      <c r="CE22" s="64">
        <f>ROUND(SUM(TabSLS[Los Chance]),0)</f>
        <v>0</v>
      </c>
      <c r="CF22" s="64"/>
      <c r="CG22" s="65"/>
      <c r="CH22" s="69">
        <f>SUBTOTAL(103,TabSLS[QK verletzt])</f>
        <v>15</v>
      </c>
      <c r="CI22" s="3"/>
      <c r="CJ22" s="61">
        <f>SUBTOTAL(109,TabDH[Sitze])</f>
        <v>14</v>
      </c>
      <c r="CK22" s="62">
        <f>SUBTOTAL(109,TabDH[Patt Auflösung])</f>
        <v>0</v>
      </c>
      <c r="CL22" s="63"/>
      <c r="CM22" s="64"/>
      <c r="CN22" s="64"/>
      <c r="CO22" s="64"/>
      <c r="CP22" s="64"/>
      <c r="CQ22" s="64"/>
      <c r="CR22" s="64"/>
      <c r="CS22" s="64"/>
      <c r="CT22" s="64"/>
      <c r="CU22" s="64"/>
      <c r="CV22" s="64"/>
      <c r="CW22" s="64"/>
      <c r="CX22" s="64"/>
      <c r="CY22" s="64"/>
      <c r="CZ22" s="64"/>
      <c r="DA22" s="64"/>
      <c r="DB22" s="64"/>
      <c r="DC22" s="64"/>
      <c r="DD22" s="65"/>
      <c r="DE22" s="63"/>
      <c r="DF22" s="64"/>
      <c r="DG22" s="64"/>
      <c r="DH22" s="64"/>
      <c r="DI22" s="64"/>
      <c r="DJ22" s="64"/>
      <c r="DK22" s="64"/>
      <c r="DL22" s="64"/>
      <c r="DM22" s="64"/>
      <c r="DN22" s="64"/>
      <c r="DO22" s="64"/>
      <c r="DP22" s="64"/>
      <c r="DQ22" s="64"/>
      <c r="DR22" s="64"/>
      <c r="DS22" s="64"/>
      <c r="DT22" s="64"/>
      <c r="DU22" s="64"/>
      <c r="DV22" s="64"/>
      <c r="DW22" s="65"/>
      <c r="DX22" s="66"/>
      <c r="DY22" s="67"/>
      <c r="DZ22" s="67"/>
      <c r="EA22" s="67"/>
      <c r="EB22" s="67"/>
      <c r="EC22" s="67"/>
      <c r="ED22" s="67"/>
      <c r="EE22" s="67"/>
      <c r="EF22" s="67"/>
      <c r="EG22" s="67"/>
      <c r="EH22" s="67"/>
      <c r="EI22" s="67"/>
      <c r="EJ22" s="67"/>
      <c r="EK22" s="67"/>
      <c r="EL22" s="67"/>
      <c r="EM22" s="67"/>
      <c r="EN22" s="67"/>
      <c r="EO22" s="67"/>
      <c r="EP22" s="67"/>
      <c r="EQ22" s="63">
        <f t="array" ref="EQ22">SUM(TabDH[Patt]*1)</f>
        <v>0</v>
      </c>
      <c r="ER22" s="64">
        <f>ROUND(SUM(TabDH[Los Chance]),0)</f>
        <v>0</v>
      </c>
      <c r="ES22" s="64"/>
      <c r="ET22" s="65"/>
      <c r="EU22" s="69">
        <f>SUBTOTAL(103,TabDH[QK verletzt])</f>
        <v>15</v>
      </c>
      <c r="EV22" s="3"/>
      <c r="EW22" s="85" t="s">
        <v>152</v>
      </c>
      <c r="EX22" s="86">
        <f>SUBTOTAL(109,TabPatt[Stimmen])</f>
        <v>26576</v>
      </c>
      <c r="EY22" s="3"/>
      <c r="FA22">
        <f>IF(FC22=0,0,MAX(FA$7:FA21)+1)</f>
        <v>6</v>
      </c>
      <c r="FB22" t="str">
        <f>"AG1 ["&amp;FE22&amp;"]"</f>
        <v>AG1 [ÖDP FRA Tie]</v>
      </c>
      <c r="FC22">
        <f>FE23</f>
        <v>5</v>
      </c>
      <c r="FD22">
        <v>0</v>
      </c>
      <c r="FE22" t="str">
        <f>TRIM(FE7&amp;" "&amp;FE8&amp;" "&amp;FE9&amp;" "&amp;FE10&amp;" "&amp;FE11&amp;" "&amp;FE12&amp;" "&amp;FE13&amp;" "&amp;FE14&amp;" "&amp;FE15&amp;" "&amp;FE16&amp;" "&amp;FE17&amp;" "&amp;FE18&amp;" "&amp;FE19&amp;" "&amp;FE20&amp;" "&amp;FE21)</f>
        <v>ÖDP FRA Tie</v>
      </c>
      <c r="FF22" t="str">
        <f t="shared" ref="FF22:FH22" si="5">TRIM(FF7&amp;" "&amp;FF8&amp;" "&amp;FF9&amp;" "&amp;FF10&amp;" "&amp;FF11&amp;" "&amp;FF12&amp;" "&amp;FF13&amp;" "&amp;FF14&amp;" "&amp;FF15&amp;" "&amp;FF16&amp;" "&amp;FF17&amp;" "&amp;FF18&amp;" "&amp;FF19&amp;" "&amp;FF20&amp;" "&amp;FF21)</f>
        <v>FDP LIN Bay</v>
      </c>
      <c r="FG22" t="str">
        <f t="shared" si="5"/>
        <v/>
      </c>
      <c r="FH22" t="str">
        <f t="shared" si="5"/>
        <v/>
      </c>
      <c r="FI22" s="153" t="e">
        <f>TabHN[[#This Row],[Sitze]]+TabHN[[#This Row],[Patt Auflösung]]</f>
        <v>#VALUE!</v>
      </c>
      <c r="FJ22" s="153" t="e">
        <f>TabSLS[[#This Row],[Sitze]]+TabSLS[[#This Row],[Patt Auflösung]]</f>
        <v>#VALUE!</v>
      </c>
      <c r="FK22" s="154" t="e">
        <f>TabDH[[#This Row],[Sitze]]+TabDH[[#This Row],[Patt Auflösung]]</f>
        <v>#VALUE!</v>
      </c>
      <c r="FL22" s="154" t="e">
        <f t="shared" si="2"/>
        <v>#VALUE!</v>
      </c>
      <c r="FM22" s="154" t="e">
        <f t="shared" si="3"/>
        <v>#VALUE!</v>
      </c>
      <c r="FN22" t="e">
        <f t="shared" si="4"/>
        <v>#VALUE!</v>
      </c>
    </row>
    <row r="23" spans="1:174" x14ac:dyDescent="0.25">
      <c r="A23" s="3"/>
      <c r="B23" s="199" t="s">
        <v>251</v>
      </c>
      <c r="C23" s="200"/>
      <c r="D23" s="175" t="s">
        <v>251</v>
      </c>
      <c r="E23" s="3"/>
      <c r="F23" s="3"/>
      <c r="G23" s="3"/>
      <c r="H23" s="3"/>
      <c r="I23" s="3"/>
      <c r="J23" s="3"/>
      <c r="K23" s="54"/>
      <c r="L23" s="3"/>
      <c r="M23" s="3"/>
      <c r="N23" s="3"/>
      <c r="O23" s="3"/>
      <c r="P23" s="3"/>
      <c r="Q23" s="3"/>
      <c r="R23" s="55"/>
      <c r="S23" s="55"/>
      <c r="T23" s="55"/>
      <c r="U23" s="55"/>
      <c r="V23" s="55"/>
      <c r="W23" s="55"/>
      <c r="X23" s="55"/>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175" t="s">
        <v>251</v>
      </c>
      <c r="EY23" s="3"/>
      <c r="FA23">
        <f>IF(FC23=0,0,MAX(FA$7:FA22)+1)</f>
        <v>7</v>
      </c>
      <c r="FB23" t="str">
        <f>"AG2 ["&amp;FF22&amp;"]"</f>
        <v>AG2 [FDP LIN Bay]</v>
      </c>
      <c r="FC23">
        <f>FF23</f>
        <v>7</v>
      </c>
      <c r="FD23">
        <v>0</v>
      </c>
      <c r="FE23">
        <f>SUMIFS(Grunddaten[Sitze im Hauptorgan],Grunddaten[AG?],FE$6)</f>
        <v>5</v>
      </c>
      <c r="FF23">
        <f>SUMIFS(Grunddaten[Sitze im Hauptorgan],Grunddaten[AG?],FF$6)</f>
        <v>7</v>
      </c>
      <c r="FG23">
        <f>SUMIFS(Grunddaten[Sitze im Hauptorgan],Grunddaten[AG?],FG$6)</f>
        <v>0</v>
      </c>
      <c r="FH23">
        <f>SUMIFS(Grunddaten[Sitze im Hauptorgan],Grunddaten[AG?],FH$6)</f>
        <v>0</v>
      </c>
      <c r="FI23" s="153" t="e">
        <f>TabHN[[#This Row],[Sitze]]+TabHN[[#This Row],[Patt Auflösung]]</f>
        <v>#VALUE!</v>
      </c>
      <c r="FJ23" s="153" t="e">
        <f>TabSLS[[#This Row],[Sitze]]+TabSLS[[#This Row],[Patt Auflösung]]</f>
        <v>#VALUE!</v>
      </c>
      <c r="FK23" s="154" t="e">
        <f>TabDH[[#This Row],[Sitze]]+TabDH[[#This Row],[Patt Auflösung]]</f>
        <v>#VALUE!</v>
      </c>
      <c r="FL23" s="154" t="e">
        <f t="shared" si="2"/>
        <v>#VALUE!</v>
      </c>
      <c r="FM23" s="154" t="e">
        <f t="shared" si="3"/>
        <v>#VALUE!</v>
      </c>
      <c r="FN23" t="e">
        <f t="shared" si="4"/>
        <v>#VALUE!</v>
      </c>
    </row>
    <row r="24" spans="1:174" x14ac:dyDescent="0.25">
      <c r="A24" s="3"/>
      <c r="B24" s="181" t="s">
        <v>248</v>
      </c>
      <c r="C24" s="182"/>
      <c r="D24" s="76" t="s">
        <v>249</v>
      </c>
      <c r="E24" s="183" t="s">
        <v>253</v>
      </c>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c r="CC24" s="183"/>
      <c r="CD24" s="183"/>
      <c r="CE24" s="183"/>
      <c r="CF24" s="183"/>
      <c r="CG24" s="183"/>
      <c r="CH24" s="183"/>
      <c r="CI24" s="183"/>
      <c r="CJ24" s="183"/>
      <c r="CK24" s="183"/>
      <c r="CL24" s="183"/>
      <c r="CM24" s="183"/>
      <c r="CN24" s="183"/>
      <c r="CO24" s="183"/>
      <c r="CP24" s="183"/>
      <c r="CQ24" s="183"/>
      <c r="CR24" s="183"/>
      <c r="CS24" s="183"/>
      <c r="CT24" s="183"/>
      <c r="CU24" s="183"/>
      <c r="CV24" s="183"/>
      <c r="CW24" s="183"/>
      <c r="CX24" s="183"/>
      <c r="CY24" s="183"/>
      <c r="CZ24" s="183"/>
      <c r="DA24" s="183"/>
      <c r="DB24" s="183"/>
      <c r="DC24" s="183"/>
      <c r="DD24" s="183"/>
      <c r="DE24" s="183"/>
      <c r="DF24" s="183"/>
      <c r="DG24" s="183"/>
      <c r="DH24" s="183"/>
      <c r="DI24" s="183"/>
      <c r="DJ24" s="183"/>
      <c r="DK24" s="183"/>
      <c r="DL24" s="183"/>
      <c r="DM24" s="183"/>
      <c r="DN24" s="183"/>
      <c r="DO24" s="183"/>
      <c r="DP24" s="183"/>
      <c r="DQ24" s="183"/>
      <c r="DR24" s="183"/>
      <c r="DS24" s="183"/>
      <c r="DT24" s="183"/>
      <c r="DU24" s="183"/>
      <c r="DV24" s="183"/>
      <c r="DW24" s="183"/>
      <c r="DX24" s="183"/>
      <c r="DY24" s="183"/>
      <c r="DZ24" s="183"/>
      <c r="EA24" s="183"/>
      <c r="EB24" s="183"/>
      <c r="EC24" s="183"/>
      <c r="ED24" s="183"/>
      <c r="EE24" s="183"/>
      <c r="EF24" s="183"/>
      <c r="EG24" s="183"/>
      <c r="EH24" s="183"/>
      <c r="EI24" s="183"/>
      <c r="EJ24" s="183"/>
      <c r="EK24" s="183"/>
      <c r="EL24" s="183"/>
      <c r="EM24" s="183"/>
      <c r="EN24" s="183"/>
      <c r="EO24" s="183"/>
      <c r="EP24" s="183"/>
      <c r="EQ24" s="183"/>
      <c r="ER24" s="183"/>
      <c r="ES24" s="183"/>
      <c r="ET24" s="183"/>
      <c r="EU24" s="183"/>
      <c r="EV24" s="183"/>
      <c r="EW24" s="183"/>
      <c r="EX24" s="75" t="s">
        <v>155</v>
      </c>
      <c r="EY24" s="3"/>
      <c r="FA24">
        <f>IF(FC24=0,0,MAX(FA$7:FA23)+1)</f>
        <v>0</v>
      </c>
      <c r="FB24" t="str">
        <f>"AG3 ["&amp;FG22&amp;"]"</f>
        <v>AG3 []</v>
      </c>
      <c r="FC24">
        <f>FG23</f>
        <v>0</v>
      </c>
      <c r="FD24">
        <v>0</v>
      </c>
      <c r="FI24" s="153" t="e">
        <f>TabHN[[#This Row],[Sitze]]+TabHN[[#This Row],[Patt Auflösung]]</f>
        <v>#VALUE!</v>
      </c>
      <c r="FJ24" s="153" t="e">
        <f>TabSLS[[#This Row],[Sitze]]+TabSLS[[#This Row],[Patt Auflösung]]</f>
        <v>#VALUE!</v>
      </c>
      <c r="FK24" s="154" t="e">
        <f>TabDH[[#This Row],[Sitze]]+TabDH[[#This Row],[Patt Auflösung]]</f>
        <v>#VALUE!</v>
      </c>
      <c r="FL24" s="154" t="e">
        <f t="shared" si="2"/>
        <v>#VALUE!</v>
      </c>
      <c r="FM24" s="154" t="e">
        <f t="shared" si="3"/>
        <v>#VALUE!</v>
      </c>
      <c r="FN24" t="e">
        <f t="shared" si="4"/>
        <v>#VALUE!</v>
      </c>
    </row>
    <row r="25" spans="1:174" s="77" customFormat="1" x14ac:dyDescent="0.25">
      <c r="B25" s="3"/>
      <c r="C25" s="3"/>
      <c r="D25" s="3"/>
      <c r="E25" s="3"/>
      <c r="F25" s="3"/>
      <c r="G25" s="3"/>
      <c r="H25" s="3"/>
      <c r="I25" s="3"/>
      <c r="J25" s="3"/>
      <c r="L25" s="3"/>
      <c r="M25" s="3"/>
      <c r="N25" s="3"/>
      <c r="O25" s="3"/>
      <c r="P25" s="3"/>
      <c r="Q25" s="3"/>
      <c r="R25" s="55"/>
      <c r="S25" s="55"/>
      <c r="T25" s="55"/>
      <c r="U25" s="55"/>
      <c r="W25" s="55"/>
      <c r="X25" s="55"/>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W25" s="3"/>
      <c r="EX25" s="3"/>
      <c r="EZ25"/>
      <c r="FA25">
        <f>IF(FC25=0,0,MAX(FA$7:FA24)+1)</f>
        <v>0</v>
      </c>
      <c r="FB25" t="str">
        <f>"AG4 ["&amp;FH22&amp;"]"</f>
        <v>AG4 []</v>
      </c>
      <c r="FC25">
        <f>FH23</f>
        <v>0</v>
      </c>
      <c r="FD25">
        <v>0</v>
      </c>
      <c r="FE25"/>
      <c r="FF25"/>
      <c r="FG25"/>
      <c r="FH25"/>
      <c r="FI25" s="153" t="e">
        <f>TabHN[[#This Row],[Sitze]]+TabHN[[#This Row],[Patt Auflösung]]</f>
        <v>#VALUE!</v>
      </c>
      <c r="FJ25" s="153" t="e">
        <f>TabSLS[[#This Row],[Sitze]]+TabSLS[[#This Row],[Patt Auflösung]]</f>
        <v>#VALUE!</v>
      </c>
      <c r="FK25" s="154" t="e">
        <f>TabDH[[#This Row],[Sitze]]+TabDH[[#This Row],[Patt Auflösung]]</f>
        <v>#VALUE!</v>
      </c>
      <c r="FL25" s="154" t="e">
        <f t="shared" si="2"/>
        <v>#VALUE!</v>
      </c>
      <c r="FM25" s="154" t="e">
        <f t="shared" si="3"/>
        <v>#VALUE!</v>
      </c>
      <c r="FN25" t="e">
        <f t="shared" si="4"/>
        <v>#VALUE!</v>
      </c>
      <c r="FO25"/>
      <c r="FP25"/>
      <c r="FQ25" s="1"/>
      <c r="FR25" s="1"/>
    </row>
    <row r="26" spans="1:174" x14ac:dyDescent="0.25">
      <c r="A26" s="3"/>
      <c r="B26" s="3"/>
      <c r="C26" s="3"/>
      <c r="D26" s="3"/>
      <c r="E26" s="3"/>
      <c r="F26" s="3"/>
      <c r="G26" s="3"/>
      <c r="H26" s="3"/>
      <c r="I26" s="3"/>
      <c r="J26" s="3"/>
      <c r="K26" s="54"/>
      <c r="L26" s="3"/>
      <c r="M26" s="3"/>
      <c r="N26" s="3"/>
      <c r="O26" s="3"/>
      <c r="P26" s="3"/>
      <c r="Q26" s="3"/>
      <c r="R26" s="55"/>
      <c r="S26" s="55"/>
      <c r="T26" s="55"/>
      <c r="U26" s="55"/>
      <c r="V26" s="55"/>
      <c r="W26" s="55"/>
      <c r="X26" s="55"/>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row>
    <row r="27" spans="1:174" x14ac:dyDescent="0.25">
      <c r="A27" s="3"/>
      <c r="B27" s="77"/>
      <c r="C27" s="77"/>
      <c r="D27" s="77"/>
      <c r="E27" s="77"/>
      <c r="F27" s="77"/>
      <c r="G27" s="77"/>
      <c r="H27" s="77"/>
      <c r="I27" s="77"/>
      <c r="J27" s="77"/>
      <c r="K27" s="54"/>
      <c r="L27" s="77"/>
      <c r="M27" s="77"/>
      <c r="N27" s="77"/>
      <c r="O27" s="77"/>
      <c r="P27" s="77"/>
      <c r="Q27" s="77"/>
      <c r="R27" s="77"/>
      <c r="S27" s="77"/>
      <c r="T27" s="77"/>
      <c r="U27" s="77"/>
      <c r="V27" s="3"/>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77"/>
      <c r="CD27" s="77"/>
      <c r="CE27" s="77"/>
      <c r="CF27" s="77"/>
      <c r="CG27" s="77"/>
      <c r="CH27" s="77"/>
      <c r="CI27" s="3"/>
      <c r="CJ27" s="77"/>
      <c r="CK27" s="77"/>
      <c r="CL27" s="77"/>
      <c r="CM27" s="77"/>
      <c r="CN27" s="77"/>
      <c r="CO27" s="77"/>
      <c r="CP27" s="77"/>
      <c r="CQ27" s="77"/>
      <c r="CR27" s="77"/>
      <c r="CS27" s="77"/>
      <c r="CT27" s="77"/>
      <c r="CU27" s="77"/>
      <c r="CV27" s="77"/>
      <c r="CW27" s="77"/>
      <c r="CX27" s="77"/>
      <c r="CY27" s="77"/>
      <c r="CZ27" s="77"/>
      <c r="DA27" s="77"/>
      <c r="DB27" s="77"/>
      <c r="DC27" s="77"/>
      <c r="DD27" s="77"/>
      <c r="DE27" s="77"/>
      <c r="DF27" s="77"/>
      <c r="DG27" s="77"/>
      <c r="DH27" s="77"/>
      <c r="DI27" s="77"/>
      <c r="DJ27" s="77"/>
      <c r="DK27" s="77"/>
      <c r="DL27" s="77"/>
      <c r="DM27" s="77"/>
      <c r="DN27" s="77"/>
      <c r="DO27" s="77"/>
      <c r="DP27" s="77"/>
      <c r="DQ27" s="77"/>
      <c r="DR27" s="77"/>
      <c r="DS27" s="77"/>
      <c r="DT27" s="77"/>
      <c r="DU27" s="77"/>
      <c r="DV27" s="77"/>
      <c r="DW27" s="77"/>
      <c r="DX27" s="77"/>
      <c r="DY27" s="77"/>
      <c r="DZ27" s="77"/>
      <c r="EA27" s="77"/>
      <c r="EB27" s="77"/>
      <c r="EC27" s="77"/>
      <c r="ED27" s="77"/>
      <c r="EE27" s="77"/>
      <c r="EF27" s="77"/>
      <c r="EG27" s="77"/>
      <c r="EH27" s="77"/>
      <c r="EI27" s="77"/>
      <c r="EJ27" s="77"/>
      <c r="EK27" s="77"/>
      <c r="EL27" s="77"/>
      <c r="EM27" s="77"/>
      <c r="EN27" s="77"/>
      <c r="EO27" s="77"/>
      <c r="EP27" s="77"/>
      <c r="EQ27" s="77"/>
      <c r="ER27" s="77"/>
      <c r="ES27" s="77"/>
      <c r="ET27" s="77"/>
      <c r="EU27" s="77"/>
      <c r="EV27" s="3"/>
      <c r="EW27" s="77"/>
      <c r="EX27" s="77"/>
      <c r="EY27" s="3"/>
    </row>
    <row r="28" spans="1:174" x14ac:dyDescent="0.25">
      <c r="A28" s="3"/>
      <c r="B28" s="3"/>
      <c r="C28" s="3"/>
      <c r="D28" s="3"/>
      <c r="E28" s="3"/>
      <c r="F28" s="3"/>
      <c r="G28" s="3"/>
      <c r="H28" s="3"/>
      <c r="I28" s="3"/>
      <c r="J28" s="3"/>
      <c r="K28" s="54"/>
      <c r="L28" s="3"/>
      <c r="M28" s="3"/>
      <c r="N28" s="3"/>
      <c r="O28" s="3"/>
      <c r="P28" s="3"/>
      <c r="Q28" s="3"/>
      <c r="R28" s="55"/>
      <c r="S28" s="55"/>
      <c r="T28" s="55"/>
      <c r="U28" s="55"/>
      <c r="V28" s="3"/>
      <c r="W28" s="55"/>
      <c r="X28" s="55"/>
      <c r="Y28" s="3"/>
      <c r="Z28" s="3"/>
      <c r="AA28" s="3"/>
      <c r="AB28" s="3"/>
      <c r="AC28" s="3"/>
      <c r="AD28" s="3"/>
      <c r="AE28" s="3">
        <f t="array" ref="AE28">MAX(Y7:AQ21/AR7:BJ21)</f>
        <v>20</v>
      </c>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row>
    <row r="29" spans="1:174" x14ac:dyDescent="0.25">
      <c r="A29" s="3"/>
      <c r="B29" s="3"/>
      <c r="C29" s="3"/>
      <c r="D29" s="3"/>
      <c r="E29" s="3"/>
      <c r="F29" s="3"/>
      <c r="G29" s="3"/>
      <c r="H29" s="3"/>
      <c r="I29" s="3"/>
      <c r="J29" s="3"/>
      <c r="K29" s="54"/>
      <c r="L29" s="3"/>
      <c r="M29" s="3"/>
      <c r="N29" s="3"/>
      <c r="O29" s="3"/>
      <c r="P29" s="3"/>
      <c r="Q29" s="3"/>
      <c r="R29" s="3"/>
      <c r="S29" s="3"/>
      <c r="T29" s="3"/>
      <c r="U29" s="3"/>
      <c r="V29" s="3"/>
      <c r="W29" s="55"/>
      <c r="X29" s="55"/>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row>
    <row r="30" spans="1:174"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row>
    <row r="31" spans="1:174"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row>
    <row r="32" spans="1:174"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row>
    <row r="33" spans="1:155"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row>
    <row r="34" spans="1:155"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row>
    <row r="35" spans="1:155"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row>
    <row r="36" spans="1:155"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row>
    <row r="37" spans="1:155"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row>
    <row r="38" spans="1:155"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row>
    <row r="39" spans="1:155"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row>
    <row r="40" spans="1:155"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row>
    <row r="41" spans="1:155"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row>
    <row r="42" spans="1:155"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row>
    <row r="43" spans="1:155"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row>
    <row r="44" spans="1:155"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row>
    <row r="45" spans="1:155"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row>
    <row r="46" spans="1:155"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row>
    <row r="47" spans="1:155"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row>
    <row r="48" spans="1:155"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row>
    <row r="49" spans="1:155"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row>
    <row r="50" spans="1:155"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row>
    <row r="51" spans="1:155"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row>
    <row r="52" spans="1:155"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row>
    <row r="53" spans="1:155"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row>
    <row r="54" spans="1:155"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row>
    <row r="55" spans="1:155"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row>
    <row r="56" spans="1:155"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row>
    <row r="57" spans="1:155"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row>
    <row r="58" spans="1:155"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row>
    <row r="59" spans="1:155"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row>
    <row r="60" spans="1:155"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row>
    <row r="61" spans="1:155"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row>
    <row r="62" spans="1:155"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row>
    <row r="63" spans="1:155"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row>
    <row r="64" spans="1:155"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row>
    <row r="65" spans="1:155"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row>
    <row r="66" spans="1:155"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row>
    <row r="67" spans="1:155"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row>
    <row r="68" spans="1:155"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row>
    <row r="69" spans="1:155"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row>
    <row r="70" spans="1:155"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row>
    <row r="71" spans="1:155"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row>
    <row r="72" spans="1:155"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row>
    <row r="73" spans="1:155"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row>
    <row r="74" spans="1:155"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row>
    <row r="75" spans="1:155"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row>
    <row r="76" spans="1:155"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row>
    <row r="77" spans="1:155"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row>
    <row r="78" spans="1:155"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row>
    <row r="79" spans="1:155"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row>
    <row r="80" spans="1:155"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row>
    <row r="81" spans="1:155"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row>
    <row r="82" spans="1:155"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row>
    <row r="83" spans="1:155"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row>
    <row r="84" spans="1:155"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row>
    <row r="85" spans="1:155"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row>
    <row r="86" spans="1:155"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row>
    <row r="87" spans="1:155"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row>
    <row r="88" spans="1:155"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row>
    <row r="89" spans="1:155"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row>
    <row r="90" spans="1:155"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row>
    <row r="91" spans="1:155"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row>
    <row r="92" spans="1:155"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row>
  </sheetData>
  <sheetProtection algorithmName="SHA-512" hashValue="bRAnyuw1f4LALbn9Fizvxh96x/mmeIT50SLZwjJ1IadIayYsW8pf+GKgUF+g7qnML6jm0ODHdCotFXcg0zIAsg==" saltValue="r6hOIaAxFm5habZ0Tj269g==" spinCount="100000" sheet="1" objects="1" scenarios="1"/>
  <mergeCells count="18">
    <mergeCell ref="B23:C23"/>
    <mergeCell ref="B5:D5"/>
    <mergeCell ref="B24:C24"/>
    <mergeCell ref="E24:EW24"/>
    <mergeCell ref="L5:M5"/>
    <mergeCell ref="W5:X5"/>
    <mergeCell ref="CJ5:CK5"/>
    <mergeCell ref="Y5:AQ5"/>
    <mergeCell ref="BK5:CC5"/>
    <mergeCell ref="AR5:BJ5"/>
    <mergeCell ref="EW5:EX5"/>
    <mergeCell ref="DX5:EP5"/>
    <mergeCell ref="EQ5:ET5"/>
    <mergeCell ref="CL5:DD5"/>
    <mergeCell ref="CD5:CG5"/>
    <mergeCell ref="DE5:DW5"/>
    <mergeCell ref="G5:J5"/>
    <mergeCell ref="E5:F5"/>
  </mergeCells>
  <conditionalFormatting sqref="M7:M21">
    <cfRule type="expression" dxfId="761" priority="39">
      <formula>$R7</formula>
    </cfRule>
  </conditionalFormatting>
  <conditionalFormatting sqref="Q7:Q21">
    <cfRule type="expression" dxfId="760" priority="32">
      <formula>AND(Q7,NOT(R7))</formula>
    </cfRule>
  </conditionalFormatting>
  <conditionalFormatting sqref="Q7:R21">
    <cfRule type="expression" dxfId="759" priority="30">
      <formula>AND($Q7,$R7)</formula>
    </cfRule>
  </conditionalFormatting>
  <conditionalFormatting sqref="DX7:EP17 BK7:CC21 DX21:EP21">
    <cfRule type="cellIs" dxfId="758" priority="28" operator="equal">
      <formula>"PATT"</formula>
    </cfRule>
    <cfRule type="cellIs" dxfId="757" priority="29" operator="equal">
      <formula>"SITZ"</formula>
    </cfRule>
  </conditionalFormatting>
  <conditionalFormatting sqref="AR7:BJ21 DE7:DW21">
    <cfRule type="expression" dxfId="756" priority="26">
      <formula>(BK7="PATT")</formula>
    </cfRule>
    <cfRule type="expression" dxfId="755" priority="27">
      <formula>(BK7="SITZ")</formula>
    </cfRule>
  </conditionalFormatting>
  <conditionalFormatting sqref="Y7:AQ21 CL7:DD21">
    <cfRule type="expression" dxfId="754" priority="23">
      <formula>(BK7="PATT")</formula>
    </cfRule>
    <cfRule type="expression" dxfId="753" priority="25">
      <formula>(BK7="SITZ")</formula>
    </cfRule>
  </conditionalFormatting>
  <conditionalFormatting sqref="EQ7:EQ17 CD7:CD17 CD21 EQ21">
    <cfRule type="cellIs" dxfId="752" priority="22" operator="equal">
      <formula>TRUE</formula>
    </cfRule>
  </conditionalFormatting>
  <conditionalFormatting sqref="W7:X21">
    <cfRule type="expression" dxfId="751" priority="14">
      <formula>$CH7</formula>
    </cfRule>
  </conditionalFormatting>
  <conditionalFormatting sqref="CJ7:CK21">
    <cfRule type="expression" dxfId="750" priority="12">
      <formula>$EU7</formula>
    </cfRule>
  </conditionalFormatting>
  <conditionalFormatting sqref="X7:X21">
    <cfRule type="expression" dxfId="749" priority="41">
      <formula>(CD7)</formula>
    </cfRule>
  </conditionalFormatting>
  <conditionalFormatting sqref="CK7:CK21">
    <cfRule type="expression" dxfId="748" priority="38">
      <formula>$EQ7</formula>
    </cfRule>
  </conditionalFormatting>
  <conditionalFormatting sqref="H7:J21">
    <cfRule type="cellIs" dxfId="747" priority="11" operator="equal">
      <formula>"NOK"</formula>
    </cfRule>
  </conditionalFormatting>
  <conditionalFormatting sqref="C22">
    <cfRule type="expression" dxfId="746" priority="9">
      <formula>(C22&lt;&gt;C1)</formula>
    </cfRule>
    <cfRule type="expression" dxfId="745" priority="10">
      <formula>(C22=C1)</formula>
    </cfRule>
  </conditionalFormatting>
  <conditionalFormatting sqref="N7:N21">
    <cfRule type="dataBar" priority="169">
      <dataBar>
        <cfvo type="min"/>
        <cfvo type="max"/>
        <color rgb="FF92D050"/>
      </dataBar>
      <extLst>
        <ext xmlns:x14="http://schemas.microsoft.com/office/spreadsheetml/2009/9/main" uri="{B025F937-C7B1-47D3-B67F-A62EFF666E3E}">
          <x14:id>{753ACAE1-7036-4552-9539-CA4979CB73DB}</x14:id>
        </ext>
      </extLst>
    </cfRule>
  </conditionalFormatting>
  <conditionalFormatting sqref="L7:L21 W7:W21 CJ7:CJ21">
    <cfRule type="dataBar" priority="172">
      <dataBar>
        <cfvo type="min"/>
        <cfvo type="max"/>
        <color rgb="FF92D050"/>
      </dataBar>
      <extLst>
        <ext xmlns:x14="http://schemas.microsoft.com/office/spreadsheetml/2009/9/main" uri="{B025F937-C7B1-47D3-B67F-A62EFF666E3E}">
          <x14:id>{51AFF0B3-95F8-437E-80DF-83114D02BCE4}</x14:id>
        </ext>
      </extLst>
    </cfRule>
  </conditionalFormatting>
  <conditionalFormatting sqref="M7:M21 X7:X21 CK7:CK21">
    <cfRule type="dataBar" priority="176">
      <dataBar>
        <cfvo type="min"/>
        <cfvo type="num" val="1"/>
        <color rgb="FFFFFF00"/>
      </dataBar>
      <extLst>
        <ext xmlns:x14="http://schemas.microsoft.com/office/spreadsheetml/2009/9/main" uri="{B025F937-C7B1-47D3-B67F-A62EFF666E3E}">
          <x14:id>{51C34C93-1C20-46D3-AA6F-2AA14857E612}</x14:id>
        </ext>
      </extLst>
    </cfRule>
  </conditionalFormatting>
  <conditionalFormatting sqref="E7:E21">
    <cfRule type="dataBar" priority="183">
      <dataBar>
        <cfvo type="min"/>
        <cfvo type="max"/>
        <color theme="0" tint="-0.499984740745262"/>
      </dataBar>
      <extLst>
        <ext xmlns:x14="http://schemas.microsoft.com/office/spreadsheetml/2009/9/main" uri="{B025F937-C7B1-47D3-B67F-A62EFF666E3E}">
          <x14:id>{A907CFF6-DCAE-4915-8B76-23E9CB35981E}</x14:id>
        </ext>
      </extLst>
    </cfRule>
  </conditionalFormatting>
  <conditionalFormatting sqref="CD18:CD20">
    <cfRule type="cellIs" dxfId="744" priority="5" operator="equal">
      <formula>TRUE</formula>
    </cfRule>
  </conditionalFormatting>
  <conditionalFormatting sqref="DX18:EP20">
    <cfRule type="cellIs" dxfId="743" priority="3" operator="equal">
      <formula>"PATT"</formula>
    </cfRule>
    <cfRule type="cellIs" dxfId="742" priority="4" operator="equal">
      <formula>"SITZ"</formula>
    </cfRule>
  </conditionalFormatting>
  <conditionalFormatting sqref="EQ18:EQ20">
    <cfRule type="cellIs" dxfId="741" priority="2" operator="equal">
      <formula>TRUE</formula>
    </cfRule>
  </conditionalFormatting>
  <conditionalFormatting sqref="D22">
    <cfRule type="expression" dxfId="740" priority="186">
      <formula>(D22&lt;&gt;#REF!)</formula>
    </cfRule>
    <cfRule type="expression" dxfId="739" priority="187">
      <formula>(D22=#REF!)</formula>
    </cfRule>
  </conditionalFormatting>
  <conditionalFormatting sqref="CK22">
    <cfRule type="expression" dxfId="738" priority="192">
      <formula>(ROUND(CJ22+CK22,0)&lt;&gt;C2)</formula>
    </cfRule>
  </conditionalFormatting>
  <conditionalFormatting sqref="X22">
    <cfRule type="expression" dxfId="737" priority="193">
      <formula>(ROUND(W22+X22,0)&lt;&gt;C2)</formula>
    </cfRule>
  </conditionalFormatting>
  <conditionalFormatting sqref="M22">
    <cfRule type="expression" dxfId="736" priority="194">
      <formula>(ROUND(M22+L22,0)&lt;&gt;C2)</formula>
    </cfRule>
  </conditionalFormatting>
  <conditionalFormatting sqref="D7:D21">
    <cfRule type="expression" dxfId="735" priority="201">
      <formula>OR($F7,$C7=0)</formula>
    </cfRule>
  </conditionalFormatting>
  <dataValidations count="3">
    <dataValidation type="list" allowBlank="1" showInputMessage="1" showErrorMessage="1" sqref="C3">
      <formula1>"Los-Chance,Stimmen"</formula1>
    </dataValidation>
    <dataValidation type="list" allowBlank="1" showInputMessage="1" showErrorMessage="1" sqref="D7:D21">
      <formula1>"AG1,AG2,AG3,AG4"</formula1>
    </dataValidation>
    <dataValidation type="list" allowBlank="1" showInputMessage="1" showErrorMessage="1" sqref="C4:D4">
      <formula1>"1,2,3,4,5,6,7,8,9,10,11,12"</formula1>
    </dataValidation>
  </dataValidations>
  <pageMargins left="0.7" right="0.7" top="0.78740157499999996" bottom="0.78740157499999996" header="0.3" footer="0.3"/>
  <pageSetup paperSize="9" orientation="portrait" horizontalDpi="4294967295" verticalDpi="4294967295" r:id="rId1"/>
  <legacyDrawing r:id="rId2"/>
  <tableParts count="5">
    <tablePart r:id="rId3"/>
    <tablePart r:id="rId4"/>
    <tablePart r:id="rId5"/>
    <tablePart r:id="rId6"/>
    <tablePart r:id="rId7"/>
  </tableParts>
  <extLst>
    <ext xmlns:x14="http://schemas.microsoft.com/office/spreadsheetml/2009/9/main" uri="{78C0D931-6437-407d-A8EE-F0AAD7539E65}">
      <x14:conditionalFormattings>
        <x14:conditionalFormatting xmlns:xm="http://schemas.microsoft.com/office/excel/2006/main">
          <x14:cfRule type="dataBar" id="{753ACAE1-7036-4552-9539-CA4979CB73DB}">
            <x14:dataBar minLength="0" maxLength="100" gradient="0">
              <x14:cfvo type="autoMin"/>
              <x14:cfvo type="autoMax"/>
              <x14:negativeFillColor rgb="FFFF0000"/>
              <x14:axisColor rgb="FF000000"/>
            </x14:dataBar>
          </x14:cfRule>
          <xm:sqref>N7:N21</xm:sqref>
        </x14:conditionalFormatting>
        <x14:conditionalFormatting xmlns:xm="http://schemas.microsoft.com/office/excel/2006/main">
          <x14:cfRule type="dataBar" id="{51AFF0B3-95F8-437E-80DF-83114D02BCE4}">
            <x14:dataBar minLength="0" maxLength="100" gradient="0">
              <x14:cfvo type="autoMin"/>
              <x14:cfvo type="autoMax"/>
              <x14:negativeFillColor rgb="FFFF0000"/>
              <x14:axisColor rgb="FF000000"/>
            </x14:dataBar>
          </x14:cfRule>
          <xm:sqref>L7:L21 W7:W21 CJ7:CJ21</xm:sqref>
        </x14:conditionalFormatting>
        <x14:conditionalFormatting xmlns:xm="http://schemas.microsoft.com/office/excel/2006/main">
          <x14:cfRule type="dataBar" id="{51C34C93-1C20-46D3-AA6F-2AA14857E612}">
            <x14:dataBar minLength="0" maxLength="100" gradient="0">
              <x14:cfvo type="autoMin"/>
              <x14:cfvo type="num">
                <xm:f>1</xm:f>
              </x14:cfvo>
              <x14:negativeFillColor rgb="FFFF0000"/>
              <x14:axisColor rgb="FF000000"/>
            </x14:dataBar>
          </x14:cfRule>
          <xm:sqref>M7:M21 X7:X21 CK7:CK21</xm:sqref>
        </x14:conditionalFormatting>
        <x14:conditionalFormatting xmlns:xm="http://schemas.microsoft.com/office/excel/2006/main">
          <x14:cfRule type="dataBar" id="{A907CFF6-DCAE-4915-8B76-23E9CB35981E}">
            <x14:dataBar minLength="0" maxLength="100" gradient="0">
              <x14:cfvo type="autoMin"/>
              <x14:cfvo type="autoMax"/>
              <x14:negativeFillColor rgb="FFFF0000"/>
              <x14:axisColor rgb="FF000000"/>
            </x14:dataBar>
          </x14:cfRule>
          <xm:sqref>E7:E21</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Right="0"/>
  </sheetPr>
  <dimension ref="A1:FJ45"/>
  <sheetViews>
    <sheetView zoomScale="115" zoomScaleNormal="115" workbookViewId="0">
      <selection activeCell="K16" sqref="K16"/>
    </sheetView>
  </sheetViews>
  <sheetFormatPr baseColWidth="10" defaultRowHeight="15" outlineLevelCol="2" x14ac:dyDescent="0.25"/>
  <cols>
    <col min="1" max="1" width="4.85546875" style="4" customWidth="1"/>
    <col min="2" max="2" width="24.42578125" style="4" customWidth="1"/>
    <col min="3" max="3" width="11.28515625" style="4" bestFit="1" customWidth="1"/>
    <col min="4" max="4" width="14.42578125" style="4" bestFit="1" customWidth="1"/>
    <col min="5" max="5" width="10.7109375" style="4" customWidth="1"/>
    <col min="6" max="8" width="5.42578125" style="4" customWidth="1"/>
    <col min="9" max="11" width="6.85546875" style="4" customWidth="1"/>
    <col min="12" max="12" width="4" style="4" customWidth="1"/>
    <col min="13" max="13" width="9.42578125" style="4" customWidth="1"/>
    <col min="14" max="14" width="9.7109375" style="4" customWidth="1" collapsed="1"/>
    <col min="15" max="16" width="6.5703125" style="4" hidden="1" customWidth="1" outlineLevel="1"/>
    <col min="17" max="17" width="5.140625" style="4" hidden="1" customWidth="1" outlineLevel="1"/>
    <col min="18" max="18" width="7.85546875" style="4" hidden="1" customWidth="1" outlineLevel="1"/>
    <col min="19" max="19" width="7.7109375" style="4" hidden="1" customWidth="1" outlineLevel="1"/>
    <col min="20" max="20" width="7.42578125" style="4" hidden="1" customWidth="1" outlineLevel="1"/>
    <col min="21" max="21" width="9.85546875" style="4" hidden="1" customWidth="1" outlineLevel="1"/>
    <col min="22" max="22" width="11.140625" style="4" hidden="1" customWidth="1" outlineLevel="1"/>
    <col min="23" max="23" width="4" style="4" customWidth="1"/>
    <col min="24" max="24" width="9.42578125" style="4" customWidth="1"/>
    <col min="25" max="25" width="9.85546875" style="4" customWidth="1" collapsed="1"/>
    <col min="26" max="26" width="11.140625" style="4" hidden="1" customWidth="1" outlineLevel="1" collapsed="1"/>
    <col min="27" max="27" width="6.140625" style="4" hidden="1" customWidth="1" outlineLevel="2"/>
    <col min="28" max="28" width="5" style="4" hidden="1" customWidth="1" outlineLevel="2"/>
    <col min="29" max="29" width="5" style="4" hidden="1" customWidth="1" outlineLevel="2" collapsed="1"/>
    <col min="30" max="44" width="5" style="4" hidden="1" customWidth="1" outlineLevel="2"/>
    <col min="45" max="45" width="11.85546875" style="4" hidden="1" customWidth="1" outlineLevel="1" collapsed="1"/>
    <col min="46" max="47" width="5.42578125" style="4" hidden="1" customWidth="1" outlineLevel="2"/>
    <col min="48" max="48" width="5.42578125" style="4" hidden="1" customWidth="1" outlineLevel="2" collapsed="1"/>
    <col min="49" max="63" width="5.42578125" style="4" hidden="1" customWidth="1" outlineLevel="2"/>
    <col min="64" max="64" width="9.42578125" style="4" hidden="1" customWidth="1" outlineLevel="1" collapsed="1"/>
    <col min="65" max="82" width="6" style="4" hidden="1" customWidth="1" outlineLevel="2"/>
    <col min="83" max="83" width="13.140625" style="4" hidden="1" customWidth="1" outlineLevel="1"/>
    <col min="84" max="84" width="7.28515625" style="4" hidden="1" customWidth="1" outlineLevel="2"/>
    <col min="85" max="85" width="8.85546875" style="4" hidden="1" customWidth="1" outlineLevel="2"/>
    <col min="86" max="86" width="11.140625" style="4" hidden="1" customWidth="1" outlineLevel="2"/>
    <col min="87" max="87" width="9.7109375" style="4" hidden="1" customWidth="1" outlineLevel="1"/>
    <col min="88" max="88" width="4.5703125" style="4" customWidth="1"/>
    <col min="89" max="89" width="7.5703125" style="4" customWidth="1"/>
    <col min="90" max="90" width="12.28515625" style="4" customWidth="1" collapsed="1"/>
    <col min="91" max="91" width="13" style="4" hidden="1" customWidth="1" outlineLevel="1" collapsed="1"/>
    <col min="92" max="92" width="7.85546875" style="4" hidden="1" customWidth="1" outlineLevel="2"/>
    <col min="93" max="93" width="8.140625" style="4" hidden="1" customWidth="1" outlineLevel="2"/>
    <col min="94" max="94" width="6.5703125" style="4" hidden="1" customWidth="1" outlineLevel="2"/>
    <col min="95" max="104" width="5.5703125" style="4" hidden="1" customWidth="1" outlineLevel="2"/>
    <col min="105" max="105" width="6.140625" style="4" hidden="1" customWidth="1" outlineLevel="2"/>
    <col min="106" max="109" width="5.5703125" style="4" hidden="1" customWidth="1" outlineLevel="2"/>
    <col min="110" max="110" width="12.5703125" style="4" hidden="1" customWidth="1" outlineLevel="1" collapsed="1"/>
    <col min="111" max="111" width="4.5703125" style="4" hidden="1" customWidth="1" outlineLevel="2"/>
    <col min="112" max="128" width="5" style="4" hidden="1" customWidth="1" outlineLevel="2"/>
    <col min="129" max="129" width="6" style="4" hidden="1" customWidth="1" outlineLevel="1" collapsed="1"/>
    <col min="130" max="147" width="6" style="4" hidden="1" customWidth="1" outlineLevel="2"/>
    <col min="148" max="148" width="7.7109375" style="4" hidden="1" customWidth="1" outlineLevel="1"/>
    <col min="149" max="149" width="7.42578125" style="4" hidden="1" customWidth="1" outlineLevel="2"/>
    <col min="150" max="150" width="8.85546875" style="4" hidden="1" customWidth="1" outlineLevel="2"/>
    <col min="151" max="151" width="7.5703125" style="4" hidden="1" customWidth="1" outlineLevel="2"/>
    <col min="152" max="152" width="8" style="4" hidden="1" customWidth="1" outlineLevel="1"/>
    <col min="153" max="153" width="3.85546875" style="4" customWidth="1"/>
    <col min="154" max="154" width="24.140625" style="4" bestFit="1" customWidth="1"/>
    <col min="155" max="155" width="10.7109375" style="4" customWidth="1"/>
    <col min="156" max="156" width="6.28515625" style="4" customWidth="1"/>
    <col min="157" max="160" width="11.42578125" style="4"/>
    <col min="161" max="166" width="11.42578125" style="3"/>
    <col min="167" max="16384" width="11.42578125" style="4"/>
  </cols>
  <sheetData>
    <row r="1" spans="1:166" ht="15" customHeight="1" x14ac:dyDescent="0.25">
      <c r="A1" s="3"/>
      <c r="B1" s="151" t="s">
        <v>6</v>
      </c>
      <c r="C1" s="176">
        <f>Ausschusskalkulator_ohneAG!C1</f>
        <v>70</v>
      </c>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row>
    <row r="2" spans="1:166" ht="15" customHeight="1" x14ac:dyDescent="0.25">
      <c r="A2" s="3"/>
      <c r="B2" s="152" t="s">
        <v>7</v>
      </c>
      <c r="C2" s="177">
        <f>Ausschusskalkulator_ohneAG!C2</f>
        <v>14</v>
      </c>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5"/>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row>
    <row r="3" spans="1:166" ht="15.75" customHeight="1" thickBot="1" x14ac:dyDescent="0.3">
      <c r="A3" s="3"/>
      <c r="B3" s="147" t="s">
        <v>54</v>
      </c>
      <c r="C3" s="143" t="s">
        <v>56</v>
      </c>
      <c r="D3" s="72" t="s">
        <v>252</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5"/>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row>
    <row r="4" spans="1:166" ht="15.75" thickBot="1"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row>
    <row r="5" spans="1:166" ht="30.75" customHeight="1" thickBot="1" x14ac:dyDescent="0.3">
      <c r="A5" s="3"/>
      <c r="B5" s="193" t="s">
        <v>182</v>
      </c>
      <c r="C5" s="198"/>
      <c r="D5" s="170" t="s">
        <v>240</v>
      </c>
      <c r="E5" s="193" t="s">
        <v>153</v>
      </c>
      <c r="F5" s="198"/>
      <c r="G5" s="198"/>
      <c r="H5" s="194"/>
      <c r="I5" s="198" t="s">
        <v>255</v>
      </c>
      <c r="J5" s="198"/>
      <c r="K5" s="194"/>
      <c r="L5" s="3"/>
      <c r="M5" s="184" t="s">
        <v>51</v>
      </c>
      <c r="N5" s="185"/>
      <c r="O5" s="3"/>
      <c r="P5" s="3"/>
      <c r="Q5" s="3"/>
      <c r="R5" s="3"/>
      <c r="S5" s="3"/>
      <c r="T5" s="3"/>
      <c r="U5" s="3"/>
      <c r="V5" s="3"/>
      <c r="W5" s="3"/>
      <c r="X5" s="186" t="s">
        <v>239</v>
      </c>
      <c r="Y5" s="187"/>
      <c r="Z5" s="190" t="s">
        <v>49</v>
      </c>
      <c r="AA5" s="191"/>
      <c r="AB5" s="191"/>
      <c r="AC5" s="191"/>
      <c r="AD5" s="191"/>
      <c r="AE5" s="191"/>
      <c r="AF5" s="191"/>
      <c r="AG5" s="191"/>
      <c r="AH5" s="191"/>
      <c r="AI5" s="191"/>
      <c r="AJ5" s="191"/>
      <c r="AK5" s="191"/>
      <c r="AL5" s="191"/>
      <c r="AM5" s="191"/>
      <c r="AN5" s="191"/>
      <c r="AO5" s="191"/>
      <c r="AP5" s="191"/>
      <c r="AQ5" s="191"/>
      <c r="AR5" s="192"/>
      <c r="AS5" s="190" t="s">
        <v>50</v>
      </c>
      <c r="AT5" s="191"/>
      <c r="AU5" s="191"/>
      <c r="AV5" s="191"/>
      <c r="AW5" s="191"/>
      <c r="AX5" s="191"/>
      <c r="AY5" s="191"/>
      <c r="AZ5" s="191"/>
      <c r="BA5" s="191"/>
      <c r="BB5" s="191"/>
      <c r="BC5" s="191"/>
      <c r="BD5" s="191"/>
      <c r="BE5" s="191"/>
      <c r="BF5" s="191"/>
      <c r="BG5" s="191"/>
      <c r="BH5" s="191"/>
      <c r="BI5" s="191"/>
      <c r="BJ5" s="191"/>
      <c r="BK5" s="192"/>
      <c r="BL5" s="190" t="s">
        <v>10</v>
      </c>
      <c r="BM5" s="191"/>
      <c r="BN5" s="191"/>
      <c r="BO5" s="191"/>
      <c r="BP5" s="191"/>
      <c r="BQ5" s="191"/>
      <c r="BR5" s="191"/>
      <c r="BS5" s="191"/>
      <c r="BT5" s="191"/>
      <c r="BU5" s="191"/>
      <c r="BV5" s="191"/>
      <c r="BW5" s="191"/>
      <c r="BX5" s="191"/>
      <c r="BY5" s="191"/>
      <c r="BZ5" s="191"/>
      <c r="CA5" s="191"/>
      <c r="CB5" s="191"/>
      <c r="CC5" s="191"/>
      <c r="CD5" s="192"/>
      <c r="CE5" s="190" t="s">
        <v>9</v>
      </c>
      <c r="CF5" s="191"/>
      <c r="CG5" s="191"/>
      <c r="CH5" s="192"/>
      <c r="CI5" s="6" t="s">
        <v>115</v>
      </c>
      <c r="CJ5" s="3"/>
      <c r="CK5" s="188" t="s">
        <v>52</v>
      </c>
      <c r="CL5" s="189"/>
      <c r="CM5" s="195" t="s">
        <v>49</v>
      </c>
      <c r="CN5" s="196"/>
      <c r="CO5" s="196"/>
      <c r="CP5" s="196"/>
      <c r="CQ5" s="196"/>
      <c r="CR5" s="196"/>
      <c r="CS5" s="196"/>
      <c r="CT5" s="196"/>
      <c r="CU5" s="196"/>
      <c r="CV5" s="196"/>
      <c r="CW5" s="196"/>
      <c r="CX5" s="196"/>
      <c r="CY5" s="196"/>
      <c r="CZ5" s="196"/>
      <c r="DA5" s="196"/>
      <c r="DB5" s="196"/>
      <c r="DC5" s="196"/>
      <c r="DD5" s="196"/>
      <c r="DE5" s="197"/>
      <c r="DF5" s="195" t="s">
        <v>50</v>
      </c>
      <c r="DG5" s="196"/>
      <c r="DH5" s="196"/>
      <c r="DI5" s="196"/>
      <c r="DJ5" s="196"/>
      <c r="DK5" s="196"/>
      <c r="DL5" s="196"/>
      <c r="DM5" s="196"/>
      <c r="DN5" s="196"/>
      <c r="DO5" s="196"/>
      <c r="DP5" s="196"/>
      <c r="DQ5" s="196"/>
      <c r="DR5" s="196"/>
      <c r="DS5" s="196"/>
      <c r="DT5" s="196"/>
      <c r="DU5" s="196"/>
      <c r="DV5" s="196"/>
      <c r="DW5" s="196"/>
      <c r="DX5" s="197"/>
      <c r="DY5" s="195" t="s">
        <v>10</v>
      </c>
      <c r="DZ5" s="196"/>
      <c r="EA5" s="196"/>
      <c r="EB5" s="196"/>
      <c r="EC5" s="196"/>
      <c r="ED5" s="196"/>
      <c r="EE5" s="196"/>
      <c r="EF5" s="196"/>
      <c r="EG5" s="196"/>
      <c r="EH5" s="196"/>
      <c r="EI5" s="196"/>
      <c r="EJ5" s="196"/>
      <c r="EK5" s="196"/>
      <c r="EL5" s="196"/>
      <c r="EM5" s="196"/>
      <c r="EN5" s="196"/>
      <c r="EO5" s="196"/>
      <c r="EP5" s="196"/>
      <c r="EQ5" s="196"/>
      <c r="ER5" s="195" t="s">
        <v>9</v>
      </c>
      <c r="ES5" s="196"/>
      <c r="ET5" s="196"/>
      <c r="EU5" s="197"/>
      <c r="EV5" s="7"/>
      <c r="EW5" s="3"/>
      <c r="EX5" s="193" t="s">
        <v>54</v>
      </c>
      <c r="EY5" s="194"/>
      <c r="EZ5" s="3"/>
      <c r="FA5" s="3"/>
      <c r="FB5" s="3"/>
      <c r="FC5" s="3"/>
      <c r="FD5" s="3"/>
    </row>
    <row r="6" spans="1:166" s="28" customFormat="1" ht="32.25" customHeight="1" x14ac:dyDescent="0.25">
      <c r="A6" s="8"/>
      <c r="B6" s="88" t="s">
        <v>0</v>
      </c>
      <c r="C6" s="88" t="s">
        <v>58</v>
      </c>
      <c r="D6" s="167" t="s">
        <v>57</v>
      </c>
      <c r="E6" s="155" t="s">
        <v>53</v>
      </c>
      <c r="F6" s="156" t="s">
        <v>116</v>
      </c>
      <c r="G6" s="157" t="s">
        <v>117</v>
      </c>
      <c r="H6" s="158" t="s">
        <v>118</v>
      </c>
      <c r="I6" s="156" t="s">
        <v>241</v>
      </c>
      <c r="J6" s="157" t="s">
        <v>242</v>
      </c>
      <c r="K6" s="158" t="s">
        <v>243</v>
      </c>
      <c r="L6" s="8"/>
      <c r="M6" s="10" t="s">
        <v>10</v>
      </c>
      <c r="N6" s="11" t="s">
        <v>83</v>
      </c>
      <c r="O6" s="12" t="s">
        <v>77</v>
      </c>
      <c r="P6" s="12" t="s">
        <v>78</v>
      </c>
      <c r="Q6" s="12" t="s">
        <v>79</v>
      </c>
      <c r="R6" s="12" t="s">
        <v>8</v>
      </c>
      <c r="S6" s="12" t="s">
        <v>9</v>
      </c>
      <c r="T6" s="12" t="s">
        <v>80</v>
      </c>
      <c r="U6" s="12" t="s">
        <v>81</v>
      </c>
      <c r="V6" s="13" t="s">
        <v>82</v>
      </c>
      <c r="W6" s="8"/>
      <c r="X6" s="14" t="s">
        <v>10</v>
      </c>
      <c r="Y6" s="15" t="s">
        <v>83</v>
      </c>
      <c r="Z6" s="14" t="s">
        <v>84</v>
      </c>
      <c r="AA6" s="16" t="s">
        <v>59</v>
      </c>
      <c r="AB6" s="16" t="s">
        <v>60</v>
      </c>
      <c r="AC6" s="16" t="s">
        <v>61</v>
      </c>
      <c r="AD6" s="16" t="s">
        <v>62</v>
      </c>
      <c r="AE6" s="16" t="s">
        <v>63</v>
      </c>
      <c r="AF6" s="16" t="s">
        <v>64</v>
      </c>
      <c r="AG6" s="16" t="s">
        <v>65</v>
      </c>
      <c r="AH6" s="16" t="s">
        <v>66</v>
      </c>
      <c r="AI6" s="16" t="s">
        <v>67</v>
      </c>
      <c r="AJ6" s="16" t="s">
        <v>68</v>
      </c>
      <c r="AK6" s="16" t="s">
        <v>69</v>
      </c>
      <c r="AL6" s="16" t="s">
        <v>70</v>
      </c>
      <c r="AM6" s="16" t="s">
        <v>71</v>
      </c>
      <c r="AN6" s="16" t="s">
        <v>72</v>
      </c>
      <c r="AO6" s="16" t="s">
        <v>73</v>
      </c>
      <c r="AP6" s="16" t="s">
        <v>74</v>
      </c>
      <c r="AQ6" s="16" t="s">
        <v>75</v>
      </c>
      <c r="AR6" s="17" t="s">
        <v>76</v>
      </c>
      <c r="AS6" s="18" t="s">
        <v>11</v>
      </c>
      <c r="AT6" s="19" t="s">
        <v>12</v>
      </c>
      <c r="AU6" s="19" t="s">
        <v>13</v>
      </c>
      <c r="AV6" s="19" t="s">
        <v>14</v>
      </c>
      <c r="AW6" s="19" t="s">
        <v>15</v>
      </c>
      <c r="AX6" s="19" t="s">
        <v>16</v>
      </c>
      <c r="AY6" s="19" t="s">
        <v>17</v>
      </c>
      <c r="AZ6" s="19" t="s">
        <v>18</v>
      </c>
      <c r="BA6" s="19" t="s">
        <v>19</v>
      </c>
      <c r="BB6" s="19" t="s">
        <v>20</v>
      </c>
      <c r="BC6" s="19" t="s">
        <v>21</v>
      </c>
      <c r="BD6" s="19" t="s">
        <v>22</v>
      </c>
      <c r="BE6" s="19" t="s">
        <v>23</v>
      </c>
      <c r="BF6" s="19" t="s">
        <v>24</v>
      </c>
      <c r="BG6" s="19" t="s">
        <v>25</v>
      </c>
      <c r="BH6" s="19" t="s">
        <v>26</v>
      </c>
      <c r="BI6" s="19" t="s">
        <v>27</v>
      </c>
      <c r="BJ6" s="19" t="s">
        <v>28</v>
      </c>
      <c r="BK6" s="20" t="s">
        <v>29</v>
      </c>
      <c r="BL6" s="18" t="s">
        <v>30</v>
      </c>
      <c r="BM6" s="19" t="s">
        <v>31</v>
      </c>
      <c r="BN6" s="19" t="s">
        <v>32</v>
      </c>
      <c r="BO6" s="19" t="s">
        <v>33</v>
      </c>
      <c r="BP6" s="19" t="s">
        <v>34</v>
      </c>
      <c r="BQ6" s="19" t="s">
        <v>35</v>
      </c>
      <c r="BR6" s="19" t="s">
        <v>36</v>
      </c>
      <c r="BS6" s="19" t="s">
        <v>37</v>
      </c>
      <c r="BT6" s="19" t="s">
        <v>38</v>
      </c>
      <c r="BU6" s="19" t="s">
        <v>39</v>
      </c>
      <c r="BV6" s="19" t="s">
        <v>40</v>
      </c>
      <c r="BW6" s="19" t="s">
        <v>41</v>
      </c>
      <c r="BX6" s="19" t="s">
        <v>42</v>
      </c>
      <c r="BY6" s="19" t="s">
        <v>43</v>
      </c>
      <c r="BZ6" s="19" t="s">
        <v>44</v>
      </c>
      <c r="CA6" s="19" t="s">
        <v>45</v>
      </c>
      <c r="CB6" s="19" t="s">
        <v>46</v>
      </c>
      <c r="CC6" s="19" t="s">
        <v>47</v>
      </c>
      <c r="CD6" s="20" t="s">
        <v>48</v>
      </c>
      <c r="CE6" s="21" t="s">
        <v>113</v>
      </c>
      <c r="CF6" s="19" t="s">
        <v>80</v>
      </c>
      <c r="CG6" s="19" t="s">
        <v>114</v>
      </c>
      <c r="CH6" s="11" t="s">
        <v>82</v>
      </c>
      <c r="CI6" s="22" t="s">
        <v>85</v>
      </c>
      <c r="CJ6" s="8"/>
      <c r="CK6" s="14" t="s">
        <v>10</v>
      </c>
      <c r="CL6" s="23" t="s">
        <v>83</v>
      </c>
      <c r="CM6" s="14" t="s">
        <v>84</v>
      </c>
      <c r="CN6" s="16" t="s">
        <v>86</v>
      </c>
      <c r="CO6" s="16" t="s">
        <v>59</v>
      </c>
      <c r="CP6" s="16" t="s">
        <v>87</v>
      </c>
      <c r="CQ6" s="16" t="s">
        <v>60</v>
      </c>
      <c r="CR6" s="16" t="s">
        <v>88</v>
      </c>
      <c r="CS6" s="16" t="s">
        <v>61</v>
      </c>
      <c r="CT6" s="16" t="s">
        <v>89</v>
      </c>
      <c r="CU6" s="16" t="s">
        <v>62</v>
      </c>
      <c r="CV6" s="16" t="s">
        <v>90</v>
      </c>
      <c r="CW6" s="16" t="s">
        <v>63</v>
      </c>
      <c r="CX6" s="16" t="s">
        <v>91</v>
      </c>
      <c r="CY6" s="16" t="s">
        <v>64</v>
      </c>
      <c r="CZ6" s="16" t="s">
        <v>92</v>
      </c>
      <c r="DA6" s="16" t="s">
        <v>65</v>
      </c>
      <c r="DB6" s="16" t="s">
        <v>93</v>
      </c>
      <c r="DC6" s="16" t="s">
        <v>66</v>
      </c>
      <c r="DD6" s="16" t="s">
        <v>94</v>
      </c>
      <c r="DE6" s="24" t="s">
        <v>67</v>
      </c>
      <c r="DF6" s="18" t="s">
        <v>11</v>
      </c>
      <c r="DG6" s="19" t="s">
        <v>95</v>
      </c>
      <c r="DH6" s="19" t="s">
        <v>12</v>
      </c>
      <c r="DI6" s="19" t="s">
        <v>96</v>
      </c>
      <c r="DJ6" s="19" t="s">
        <v>13</v>
      </c>
      <c r="DK6" s="19" t="s">
        <v>97</v>
      </c>
      <c r="DL6" s="19" t="s">
        <v>14</v>
      </c>
      <c r="DM6" s="19" t="s">
        <v>98</v>
      </c>
      <c r="DN6" s="19" t="s">
        <v>15</v>
      </c>
      <c r="DO6" s="19" t="s">
        <v>99</v>
      </c>
      <c r="DP6" s="19" t="s">
        <v>16</v>
      </c>
      <c r="DQ6" s="19" t="s">
        <v>100</v>
      </c>
      <c r="DR6" s="19" t="s">
        <v>17</v>
      </c>
      <c r="DS6" s="19" t="s">
        <v>101</v>
      </c>
      <c r="DT6" s="19" t="s">
        <v>18</v>
      </c>
      <c r="DU6" s="19" t="s">
        <v>102</v>
      </c>
      <c r="DV6" s="19" t="s">
        <v>19</v>
      </c>
      <c r="DW6" s="19" t="s">
        <v>103</v>
      </c>
      <c r="DX6" s="20" t="s">
        <v>20</v>
      </c>
      <c r="DY6" s="10" t="s">
        <v>30</v>
      </c>
      <c r="DZ6" s="25" t="s">
        <v>104</v>
      </c>
      <c r="EA6" s="25" t="s">
        <v>31</v>
      </c>
      <c r="EB6" s="25" t="s">
        <v>105</v>
      </c>
      <c r="EC6" s="25" t="s">
        <v>32</v>
      </c>
      <c r="ED6" s="25" t="s">
        <v>106</v>
      </c>
      <c r="EE6" s="25" t="s">
        <v>33</v>
      </c>
      <c r="EF6" s="25" t="s">
        <v>107</v>
      </c>
      <c r="EG6" s="25" t="s">
        <v>34</v>
      </c>
      <c r="EH6" s="25" t="s">
        <v>108</v>
      </c>
      <c r="EI6" s="25" t="s">
        <v>35</v>
      </c>
      <c r="EJ6" s="25" t="s">
        <v>109</v>
      </c>
      <c r="EK6" s="25" t="s">
        <v>36</v>
      </c>
      <c r="EL6" s="25" t="s">
        <v>110</v>
      </c>
      <c r="EM6" s="25" t="s">
        <v>37</v>
      </c>
      <c r="EN6" s="25" t="s">
        <v>111</v>
      </c>
      <c r="EO6" s="25" t="s">
        <v>38</v>
      </c>
      <c r="EP6" s="25" t="s">
        <v>112</v>
      </c>
      <c r="EQ6" s="25" t="s">
        <v>39</v>
      </c>
      <c r="ER6" s="10" t="s">
        <v>9</v>
      </c>
      <c r="ES6" s="25" t="s">
        <v>80</v>
      </c>
      <c r="ET6" s="25" t="s">
        <v>81</v>
      </c>
      <c r="EU6" s="11" t="s">
        <v>82</v>
      </c>
      <c r="EV6" s="22" t="s">
        <v>85</v>
      </c>
      <c r="EW6" s="8"/>
      <c r="EX6" s="26" t="s">
        <v>119</v>
      </c>
      <c r="EY6" s="27" t="s">
        <v>55</v>
      </c>
      <c r="EZ6" s="3"/>
      <c r="FA6" s="8"/>
      <c r="FB6" s="8"/>
      <c r="FC6" s="8"/>
      <c r="FD6" s="8"/>
      <c r="FE6" s="8"/>
      <c r="FF6" s="8"/>
      <c r="FG6" s="8"/>
      <c r="FH6" s="8"/>
      <c r="FI6" s="8"/>
      <c r="FJ6" s="8"/>
    </row>
    <row r="7" spans="1:166" x14ac:dyDescent="0.25">
      <c r="A7" s="3"/>
      <c r="B7" s="89" t="str">
        <f t="shared" ref="B7:B21" si="0">IFERROR(VLOOKUP(ROW()-6,Hilf_Parteien,2,FALSE),"")</f>
        <v>CSU</v>
      </c>
      <c r="C7" s="91">
        <f t="shared" ref="C7:C21" si="1">IFERROR(VLOOKUP(ROW()-6,Hilf_Parteien,3,FALSE),0)</f>
        <v>20</v>
      </c>
      <c r="D7" s="168">
        <f>Grunddaten7[[#This Row],[Sitze im Hauptorgan]]/Grunddaten7[[#Totals],[Sitze im Hauptorgan]]*Sitze_Ausschuss</f>
        <v>4</v>
      </c>
      <c r="E7" s="159">
        <f>IF(ROUNDDOWN(Grunddaten7[[#This Row],[Proporzgenaue Zahl Ausschuss]],0)&lt;&gt;ROUNDUP(Grunddaten7[[#This Row],[Proporzgenaue Zahl Ausschuss]],0), ROUNDDOWN(Grunddaten7[[#This Row],[Proporzgenaue Zahl Ausschuss]],0)&amp;" oder "&amp;ROUNDUP(Grunddaten7[[#This Row],[Proporzgenaue Zahl Ausschuss]],0),ROUND(Grunddaten7[[#This Row],[Proporzgenaue Zahl Ausschuss]],0))</f>
        <v>4</v>
      </c>
      <c r="F7" s="52" t="str">
        <f t="shared" ref="F7:F21" si="2">"OK"</f>
        <v>OK</v>
      </c>
      <c r="G7" s="52" t="str">
        <f>IF(TabSLS10[[#This Row],[QK verletzt]],"NOK","OK")</f>
        <v>OK</v>
      </c>
      <c r="H7" s="53" t="str">
        <f>IF(TabDH12[[#This Row],[QK verletzt]],"NOK","OK")</f>
        <v>NOK</v>
      </c>
      <c r="I7" s="163">
        <f t="shared" ref="I7:I21" si="3">IFERROR(VLOOKUP(ROW()-6,Hilf_Parteien,9,FALSE),0)</f>
        <v>4</v>
      </c>
      <c r="J7" s="163">
        <f t="shared" ref="J7:J21" si="4">IFERROR(VLOOKUP(ROW()-6,Hilf_Parteien,10,FALSE),0)</f>
        <v>4</v>
      </c>
      <c r="K7" s="163">
        <f t="shared" ref="K7:K21" si="5">IFERROR(VLOOKUP(ROW()-6,Hilf_Parteien,11,FALSE),0)</f>
        <v>5</v>
      </c>
      <c r="L7" s="3"/>
      <c r="M7" s="92">
        <f>TabHN9[[#This Row],[S ganz]]+IF(NOT(TabHN9[[#This Row],[Patt]]),TabHN9[[#This Row],[Restsitz]],0)</f>
        <v>4</v>
      </c>
      <c r="N7" s="162">
        <f>IF(TabHN9[[#This Row],[Patt]],IF(Pattaufloesung="Los-Chance",TabHN9[[#This Row],[Los Chance]],TabHN9[[#This Row],[Pattgewinn]]+0),0)</f>
        <v>0</v>
      </c>
      <c r="O7" s="30">
        <f>INT(Grunddaten7[[#This Row],[Proporzgenaue Zahl Ausschuss]])</f>
        <v>4</v>
      </c>
      <c r="P7" s="31">
        <f>ROUND(Grunddaten7[[#This Row],[Proporzgenaue Zahl Ausschuss]]-TabHN9[[#This Row],[S ganz]],4)</f>
        <v>0</v>
      </c>
      <c r="Q7" s="32">
        <f>_xlfn.RANK.EQ(TabHN9[[#This Row],[S Rest]],TabHN9[S Rest],0)</f>
        <v>5</v>
      </c>
      <c r="R7" s="30">
        <f>IF(TabHN9[[#This Row],[Rng Rest]]&lt;=TabHN9[[#Totals],[S Rest]],1,0)</f>
        <v>0</v>
      </c>
      <c r="S7" s="30" t="b">
        <f>AND(TabHN9[[#This Row],[Restsitz]]=1,(COUNTIF(TabHN9[Rng Rest],TabHN9[[#This Row],[Rng Rest]])+TabHN9[[#This Row],[Rng Rest]]-1)&gt;TabHN9[[#Totals],[S Rest]])</f>
        <v>0</v>
      </c>
      <c r="T7" s="33">
        <f>IF(TabHN9[[#This Row],[Patt]],(Sitze_Ausschuss-SUM(TabHN9[Sitze]))/TabHN9[[#Totals],[Patt]],0)</f>
        <v>0</v>
      </c>
      <c r="U7" s="34">
        <f>TabHN9[[#This Row],[Patt]]*IF(Pattaufloesung="Stimmen",TabPatt11[[#This Row],[Stimmen]],0)*1</f>
        <v>0</v>
      </c>
      <c r="V7" s="35" t="b">
        <f>_xlfn.RANK.EQ(TabHN9[[#This Row],[Stimmen/Gelost]],TabHN9[Stimmen/Gelost],0)&lt;=(Sitze_Ausschuss-SUM(TabHN9[Sitze]))</f>
        <v>0</v>
      </c>
      <c r="W7" s="3"/>
      <c r="X7" s="36">
        <f>COUNTIF(TabSLS10[[#This Row],[SP1]:[SP37]],"SITZ")</f>
        <v>4</v>
      </c>
      <c r="Y7" s="37">
        <f>IF(TabSLS10[[#This Row],[Patt?]],IF(Pattaufloesung="Los-Chance",TabSLS10[[#This Row],[Los Chance]],TabSLS10[[#This Row],[Pattgewinn]]+0),0)</f>
        <v>0</v>
      </c>
      <c r="Z7" s="38">
        <f>Grunddaten7[[#This Row],[Sitze im Hauptorgan]]/_xlfn.NUMBERVALUE(MID(INDEX(TabSLS10[[#Headers],[:1]:[:37]],COLUMN()-COLUMN(TabSLS10[[#Headers],[:1]])+1),2,3))</f>
        <v>20</v>
      </c>
      <c r="AA7" s="39">
        <f>Grunddaten7[[#This Row],[Sitze im Hauptorgan]]/_xlfn.NUMBERVALUE(MID(INDEX(TabSLS10[[#Headers],[:1]:[:37]],COLUMN()-COLUMN(TabSLS10[[#Headers],[:1]])+1),2,3))</f>
        <v>6.666666666666667</v>
      </c>
      <c r="AB7" s="39">
        <f>Grunddaten7[[#This Row],[Sitze im Hauptorgan]]/_xlfn.NUMBERVALUE(MID(INDEX(TabSLS10[[#Headers],[:1]:[:37]],COLUMN()-COLUMN(TabSLS10[[#Headers],[:1]])+1),2,3))</f>
        <v>4</v>
      </c>
      <c r="AC7" s="39">
        <f>Grunddaten7[[#This Row],[Sitze im Hauptorgan]]/_xlfn.NUMBERVALUE(MID(INDEX(TabSLS10[[#Headers],[:1]:[:37]],COLUMN()-COLUMN(TabSLS10[[#Headers],[:1]])+1),2,3))</f>
        <v>2.8571428571428572</v>
      </c>
      <c r="AD7" s="39">
        <f>Grunddaten7[[#This Row],[Sitze im Hauptorgan]]/_xlfn.NUMBERVALUE(MID(INDEX(TabSLS10[[#Headers],[:1]:[:37]],COLUMN()-COLUMN(TabSLS10[[#Headers],[:1]])+1),2,3))</f>
        <v>2.2222222222222223</v>
      </c>
      <c r="AE7" s="39">
        <f>Grunddaten7[[#This Row],[Sitze im Hauptorgan]]/_xlfn.NUMBERVALUE(MID(INDEX(TabSLS10[[#Headers],[:1]:[:37]],COLUMN()-COLUMN(TabSLS10[[#Headers],[:1]])+1),2,3))</f>
        <v>1.8181818181818181</v>
      </c>
      <c r="AF7" s="39">
        <f>Grunddaten7[[#This Row],[Sitze im Hauptorgan]]/_xlfn.NUMBERVALUE(MID(INDEX(TabSLS10[[#Headers],[:1]:[:37]],COLUMN()-COLUMN(TabSLS10[[#Headers],[:1]])+1),2,3))</f>
        <v>1.5384615384615385</v>
      </c>
      <c r="AG7" s="39">
        <f>Grunddaten7[[#This Row],[Sitze im Hauptorgan]]/_xlfn.NUMBERVALUE(MID(INDEX(TabSLS10[[#Headers],[:1]:[:37]],COLUMN()-COLUMN(TabSLS10[[#Headers],[:1]])+1),2,3))</f>
        <v>1.3333333333333333</v>
      </c>
      <c r="AH7" s="39">
        <f>Grunddaten7[[#This Row],[Sitze im Hauptorgan]]/_xlfn.NUMBERVALUE(MID(INDEX(TabSLS10[[#Headers],[:1]:[:37]],COLUMN()-COLUMN(TabSLS10[[#Headers],[:1]])+1),2,3))</f>
        <v>1.1764705882352942</v>
      </c>
      <c r="AI7" s="39">
        <f>Grunddaten7[[#This Row],[Sitze im Hauptorgan]]/_xlfn.NUMBERVALUE(MID(INDEX(TabSLS10[[#Headers],[:1]:[:37]],COLUMN()-COLUMN(TabSLS10[[#Headers],[:1]])+1),2,3))</f>
        <v>1.0526315789473684</v>
      </c>
      <c r="AJ7" s="39">
        <f>Grunddaten7[[#This Row],[Sitze im Hauptorgan]]/_xlfn.NUMBERVALUE(MID(INDEX(TabSLS10[[#Headers],[:1]:[:37]],COLUMN()-COLUMN(TabSLS10[[#Headers],[:1]])+1),2,3))</f>
        <v>0.95238095238095233</v>
      </c>
      <c r="AK7" s="39">
        <f>Grunddaten7[[#This Row],[Sitze im Hauptorgan]]/_xlfn.NUMBERVALUE(MID(INDEX(TabSLS10[[#Headers],[:1]:[:37]],COLUMN()-COLUMN(TabSLS10[[#Headers],[:1]])+1),2,3))</f>
        <v>0.86956521739130432</v>
      </c>
      <c r="AL7" s="39">
        <f>Grunddaten7[[#This Row],[Sitze im Hauptorgan]]/_xlfn.NUMBERVALUE(MID(INDEX(TabSLS10[[#Headers],[:1]:[:37]],COLUMN()-COLUMN(TabSLS10[[#Headers],[:1]])+1),2,3))</f>
        <v>0.8</v>
      </c>
      <c r="AM7" s="39">
        <f>Grunddaten7[[#This Row],[Sitze im Hauptorgan]]/_xlfn.NUMBERVALUE(MID(INDEX(TabSLS10[[#Headers],[:1]:[:37]],COLUMN()-COLUMN(TabSLS10[[#Headers],[:1]])+1),2,3))</f>
        <v>0.7407407407407407</v>
      </c>
      <c r="AN7" s="39">
        <f>Grunddaten7[[#This Row],[Sitze im Hauptorgan]]/_xlfn.NUMBERVALUE(MID(INDEX(TabSLS10[[#Headers],[:1]:[:37]],COLUMN()-COLUMN(TabSLS10[[#Headers],[:1]])+1),2,3))</f>
        <v>0.68965517241379315</v>
      </c>
      <c r="AO7" s="39">
        <f>Grunddaten7[[#This Row],[Sitze im Hauptorgan]]/_xlfn.NUMBERVALUE(MID(INDEX(TabSLS10[[#Headers],[:1]:[:37]],COLUMN()-COLUMN(TabSLS10[[#Headers],[:1]])+1),2,3))</f>
        <v>0.64516129032258063</v>
      </c>
      <c r="AP7" s="39">
        <f>Grunddaten7[[#This Row],[Sitze im Hauptorgan]]/_xlfn.NUMBERVALUE(MID(INDEX(TabSLS10[[#Headers],[:1]:[:37]],COLUMN()-COLUMN(TabSLS10[[#Headers],[:1]])+1),2,3))</f>
        <v>0.60606060606060608</v>
      </c>
      <c r="AQ7" s="39">
        <f>Grunddaten7[[#This Row],[Sitze im Hauptorgan]]/_xlfn.NUMBERVALUE(MID(INDEX(TabSLS10[[#Headers],[:1]:[:37]],COLUMN()-COLUMN(TabSLS10[[#Headers],[:1]])+1),2,3))</f>
        <v>0.5714285714285714</v>
      </c>
      <c r="AR7" s="40">
        <f>Grunddaten7[[#This Row],[Sitze im Hauptorgan]]/_xlfn.NUMBERVALUE(MID(INDEX(TabSLS10[[#Headers],[:1]:[:37]],COLUMN()-COLUMN(TabSLS10[[#Headers],[:1]])+1),2,3))</f>
        <v>0.54054054054054057</v>
      </c>
      <c r="AS7" s="41">
        <f>_xlfn.RANK.EQ(TabSLS10[[#This Row],[:1]],TabSLS10[[:1]:[:37]],0)</f>
        <v>1</v>
      </c>
      <c r="AT7" s="42">
        <f>_xlfn.RANK.EQ(TabSLS10[[#This Row],[:3]],TabSLS10[[:1]:[:37]],0)</f>
        <v>6</v>
      </c>
      <c r="AU7" s="42">
        <f>_xlfn.RANK.EQ(TabSLS10[[#This Row],[:5]],TabSLS10[[:1]:[:37]],0)</f>
        <v>9</v>
      </c>
      <c r="AV7" s="42">
        <f>_xlfn.RANK.EQ(TabSLS10[[#This Row],[:7]],TabSLS10[[:1]:[:37]],0)</f>
        <v>13</v>
      </c>
      <c r="AW7" s="42">
        <f>_xlfn.RANK.EQ(TabSLS10[[#This Row],[:9]],TabSLS10[[:1]:[:37]],0)</f>
        <v>17</v>
      </c>
      <c r="AX7" s="42">
        <f>_xlfn.RANK.EQ(TabSLS10[[#This Row],[:11]],TabSLS10[[:1]:[:37]],0)</f>
        <v>19</v>
      </c>
      <c r="AY7" s="42">
        <f>_xlfn.RANK.EQ(TabSLS10[[#This Row],[:13]],TabSLS10[[:1]:[:37]],0)</f>
        <v>23</v>
      </c>
      <c r="AZ7" s="42">
        <f>_xlfn.RANK.EQ(TabSLS10[[#This Row],[:15]],TabSLS10[[:1]:[:37]],0)</f>
        <v>27</v>
      </c>
      <c r="BA7" s="42">
        <f>_xlfn.RANK.EQ(TabSLS10[[#This Row],[:17]],TabSLS10[[:1]:[:37]],0)</f>
        <v>30</v>
      </c>
      <c r="BB7" s="42">
        <f>_xlfn.RANK.EQ(TabSLS10[[#This Row],[:19]],TabSLS10[[:1]:[:37]],0)</f>
        <v>34</v>
      </c>
      <c r="BC7" s="42">
        <f>_xlfn.RANK.EQ(TabSLS10[[#This Row],[:21]],TabSLS10[[:1]:[:37]],0)</f>
        <v>37</v>
      </c>
      <c r="BD7" s="42">
        <f>_xlfn.RANK.EQ(TabSLS10[[#This Row],[:23]],TabSLS10[[:1]:[:37]],0)</f>
        <v>41</v>
      </c>
      <c r="BE7" s="42">
        <f>_xlfn.RANK.EQ(TabSLS10[[#This Row],[:25]],TabSLS10[[:1]:[:37]],0)</f>
        <v>43</v>
      </c>
      <c r="BF7" s="42">
        <f>_xlfn.RANK.EQ(TabSLS10[[#This Row],[:27]],TabSLS10[[:1]:[:37]],0)</f>
        <v>48</v>
      </c>
      <c r="BG7" s="42">
        <f>_xlfn.RANK.EQ(TabSLS10[[#This Row],[:29]],TabSLS10[[:1]:[:37]],0)</f>
        <v>52</v>
      </c>
      <c r="BH7" s="42">
        <f>_xlfn.RANK.EQ(TabSLS10[[#This Row],[:31]],TabSLS10[[:1]:[:37]],0)</f>
        <v>54</v>
      </c>
      <c r="BI7" s="42">
        <f>_xlfn.RANK.EQ(TabSLS10[[#This Row],[:33]],TabSLS10[[:1]:[:37]],0)</f>
        <v>58</v>
      </c>
      <c r="BJ7" s="42">
        <f>_xlfn.RANK.EQ(TabSLS10[[#This Row],[:35]],TabSLS10[[:1]:[:37]],0)</f>
        <v>61</v>
      </c>
      <c r="BK7" s="43">
        <f>_xlfn.RANK.EQ(TabSLS10[[#This Row],[:37]],TabSLS10[[:1]:[:37]],0)</f>
        <v>65</v>
      </c>
      <c r="BL7" s="44" t="str">
        <f>IF(TabSLS10[[#This Row],[R1]]&lt;=Sitze_Ausschuss,IF(TabSLS10[[#This Row],[R1]]+COUNTIF(TabSLS10[[R1]:[R37]],TabSLS10[[#This Row],[R1]])-1&lt;=Sitze_Ausschuss,"SITZ","PATT"),"")</f>
        <v>SITZ</v>
      </c>
      <c r="BM7" s="45" t="str">
        <f>IF(TabSLS10[[#This Row],[R3]]&lt;=Sitze_Ausschuss,IF(TabSLS10[[#This Row],[R3]]+COUNTIF(TabSLS10[[R1]:[R37]],TabSLS10[[#This Row],[R3]])-1&lt;=Sitze_Ausschuss,"SITZ","PATT"),"")</f>
        <v>SITZ</v>
      </c>
      <c r="BN7" s="45" t="str">
        <f>IF(TabSLS10[[#This Row],[R5]]&lt;=Sitze_Ausschuss,IF(TabSLS10[[#This Row],[R5]]+COUNTIF(TabSLS10[[R1]:[R37]],TabSLS10[[#This Row],[R5]])-1&lt;=Sitze_Ausschuss,"SITZ","PATT"),"")</f>
        <v>SITZ</v>
      </c>
      <c r="BO7" s="45" t="str">
        <f>IF(TabSLS10[[#This Row],[R7]]&lt;=Sitze_Ausschuss,IF(TabSLS10[[#This Row],[R7]]+COUNTIF(TabSLS10[[R1]:[R37]],TabSLS10[[#This Row],[R7]])-1&lt;=Sitze_Ausschuss,"SITZ","PATT"),"")</f>
        <v>SITZ</v>
      </c>
      <c r="BP7" s="45" t="str">
        <f>IF(TabSLS10[[#This Row],[R9]]&lt;=Sitze_Ausschuss,IF(TabSLS10[[#This Row],[R9]]+COUNTIF(TabSLS10[[R1]:[R37]],TabSLS10[[#This Row],[R9]])-1&lt;=Sitze_Ausschuss,"SITZ","PATT"),"")</f>
        <v/>
      </c>
      <c r="BQ7" s="45" t="str">
        <f>IF(TabSLS10[[#This Row],[R11]]&lt;=Sitze_Ausschuss,IF(TabSLS10[[#This Row],[R11]]+COUNTIF(TabSLS10[[R1]:[R37]],TabSLS10[[#This Row],[R11]])-1&lt;=Sitze_Ausschuss,"SITZ","PATT"),"")</f>
        <v/>
      </c>
      <c r="BR7" s="45" t="str">
        <f>IF(TabSLS10[[#This Row],[R13]]&lt;=Sitze_Ausschuss,IF(TabSLS10[[#This Row],[R13]]+COUNTIF(TabSLS10[[R1]:[R37]],TabSLS10[[#This Row],[R13]])-1&lt;=Sitze_Ausschuss,"SITZ","PATT"),"")</f>
        <v/>
      </c>
      <c r="BS7" s="45" t="str">
        <f>IF(TabSLS10[[#This Row],[R15]]&lt;=Sitze_Ausschuss,IF(TabSLS10[[#This Row],[R15]]+COUNTIF(TabSLS10[[R1]:[R37]],TabSLS10[[#This Row],[R15]])-1&lt;=Sitze_Ausschuss,"SITZ","PATT"),"")</f>
        <v/>
      </c>
      <c r="BT7" s="45" t="str">
        <f>IF(TabSLS10[[#This Row],[R17]]&lt;=Sitze_Ausschuss,IF(TabSLS10[[#This Row],[R17]]+COUNTIF(TabSLS10[[R1]:[R37]],TabSLS10[[#This Row],[R17]])-1&lt;=Sitze_Ausschuss,"SITZ","PATT"),"")</f>
        <v/>
      </c>
      <c r="BU7" s="45" t="str">
        <f>IF(TabSLS10[[#This Row],[R19]]&lt;=Sitze_Ausschuss,IF(TabSLS10[[#This Row],[R19]]+COUNTIF(TabSLS10[[R1]:[R37]],TabSLS10[[#This Row],[R19]])-1&lt;=Sitze_Ausschuss,"SITZ","PATT"),"")</f>
        <v/>
      </c>
      <c r="BV7" s="45" t="str">
        <f>IF(TabSLS10[[#This Row],[R21]]&lt;=Sitze_Ausschuss,IF(TabSLS10[[#This Row],[R21]]+COUNTIF(TabSLS10[[R1]:[R37]],TabSLS10[[#This Row],[R21]])-1&lt;=Sitze_Ausschuss,"SITZ","PATT"),"")</f>
        <v/>
      </c>
      <c r="BW7" s="45" t="str">
        <f>IF(TabSLS10[[#This Row],[R23]]&lt;=Sitze_Ausschuss,IF(TabSLS10[[#This Row],[R23]]+COUNTIF(TabSLS10[[R1]:[R37]],TabSLS10[[#This Row],[R23]])-1&lt;=Sitze_Ausschuss,"SITZ","PATT"),"")</f>
        <v/>
      </c>
      <c r="BX7" s="45" t="str">
        <f>IF(TabSLS10[[#This Row],[R25]]&lt;=Sitze_Ausschuss,IF(TabSLS10[[#This Row],[R25]]+COUNTIF(TabSLS10[[R1]:[R37]],TabSLS10[[#This Row],[R25]])-1&lt;=Sitze_Ausschuss,"SITZ","PATT"),"")</f>
        <v/>
      </c>
      <c r="BY7" s="45" t="str">
        <f>IF(TabSLS10[[#This Row],[R27]]&lt;=Sitze_Ausschuss,IF(TabSLS10[[#This Row],[R27]]+COUNTIF(TabSLS10[[R1]:[R37]],TabSLS10[[#This Row],[R27]])-1&lt;=Sitze_Ausschuss,"SITZ","PATT"),"")</f>
        <v/>
      </c>
      <c r="BZ7" s="45" t="str">
        <f>IF(TabSLS10[[#This Row],[R29]]&lt;=Sitze_Ausschuss,IF(TabSLS10[[#This Row],[R29]]+COUNTIF(TabSLS10[[R1]:[R37]],TabSLS10[[#This Row],[R29]])-1&lt;=Sitze_Ausschuss,"SITZ","PATT"),"")</f>
        <v/>
      </c>
      <c r="CA7" s="45" t="str">
        <f>IF(TabSLS10[[#This Row],[R31]]&lt;=Sitze_Ausschuss,IF(TabSLS10[[#This Row],[R31]]+COUNTIF(TabSLS10[[R1]:[R37]],TabSLS10[[#This Row],[R31]])-1&lt;=Sitze_Ausschuss,"SITZ","PATT"),"")</f>
        <v/>
      </c>
      <c r="CB7" s="45" t="str">
        <f>IF(TabSLS10[[#This Row],[R33]]&lt;=Sitze_Ausschuss,IF(TabSLS10[[#This Row],[R33]]+COUNTIF(TabSLS10[[R1]:[R37]],TabSLS10[[#This Row],[R33]])-1&lt;=Sitze_Ausschuss,"SITZ","PATT"),"")</f>
        <v/>
      </c>
      <c r="CC7" s="45" t="str">
        <f>IF(TabSLS10[[#This Row],[R35]]&lt;=Sitze_Ausschuss,IF(TabSLS10[[#This Row],[R35]]+COUNTIF(TabSLS10[[R1]:[R37]],TabSLS10[[#This Row],[R35]])-1&lt;=Sitze_Ausschuss,"SITZ","PATT"),"")</f>
        <v/>
      </c>
      <c r="CD7" s="46" t="str">
        <f>IF(TabSLS10[[#This Row],[R37]]&lt;=Sitze_Ausschuss,IF(TabSLS10[[#This Row],[R37]]+COUNTIF(TabSLS10[[R1]:[R37]],TabSLS10[[#This Row],[R37]])-1&lt;=Sitze_Ausschuss,"SITZ","PATT"),"")</f>
        <v/>
      </c>
      <c r="CE7" s="47" t="b">
        <f>COUNTIF(TabSLS10[[#This Row],[SP1]:[SP37]],"PATT")&gt;0</f>
        <v>0</v>
      </c>
      <c r="CF7" s="33">
        <f>IF(TabSLS10[[#This Row],[Patt?]],(Sitze_Ausschuss-SUM(TabSLS10[Sitze]))/TabSLS10[[#Totals],[Patt?]],0)</f>
        <v>0</v>
      </c>
      <c r="CG7" s="48">
        <f>TabSLS10[[#This Row],[Patt?]]*IF(Pattaufloesung="Stimmen",TabPatt11[[#This Row],[Stimmen]],0)*1</f>
        <v>0</v>
      </c>
      <c r="CH7" s="49" t="b">
        <f>_xlfn.RANK.EQ(TabSLS10[[#This Row],[Stimmen Gelost]],TabSLS10[Stimmen Gelost],0)&lt;=(Sitze_Ausschuss-SUM(TabSLS10[Sitze]))</f>
        <v>0</v>
      </c>
      <c r="CI7" s="50" t="b">
        <f>OR(TabSLS10[[#This Row],[Sitze]]&lt;ROUNDDOWN(Grunddaten7[[#This Row],[Proporzgenaue Zahl Ausschuss]],0),TabSLS10[[#This Row],[Sitze]]+(TabSLS10[[#This Row],[Patt?]]*1)&gt;ROUNDUP(Grunddaten7[[#This Row],[Proporzgenaue Zahl Ausschuss]],0))</f>
        <v>0</v>
      </c>
      <c r="CJ7" s="3"/>
      <c r="CK7" s="36">
        <f>COUNTIF(TabDH12[[#This Row],[SP1]:[SP19]],"SITZ")</f>
        <v>4</v>
      </c>
      <c r="CL7" s="37">
        <f>IF(TabDH12[[#This Row],[Patt]],IF(Pattaufloesung="Los-Chance",TabDH12[[#This Row],[Los Chance]],TabDH12[[#This Row],[Pattgewinn]]+0),0)</f>
        <v>0.5</v>
      </c>
      <c r="CM7" s="38">
        <f>Grunddaten7[[#This Row],[Sitze im Hauptorgan]]/_xlfn.NUMBERVALUE(MID(INDEX(TabDH12[[#Headers],[:1]:[:19]],COLUMN()-COLUMN(TabDH12[[#Headers],[:1]])+1),2,3))</f>
        <v>20</v>
      </c>
      <c r="CN7" s="39">
        <f>Grunddaten7[[#This Row],[Sitze im Hauptorgan]]/_xlfn.NUMBERVALUE(MID(INDEX(TabDH12[[#Headers],[:1]:[:19]],COLUMN()-COLUMN(TabDH12[[#Headers],[:1]])+1),2,3))</f>
        <v>10</v>
      </c>
      <c r="CO7" s="39">
        <f>Grunddaten7[[#This Row],[Sitze im Hauptorgan]]/_xlfn.NUMBERVALUE(MID(INDEX(TabDH12[[#Headers],[:1]:[:19]],COLUMN()-COLUMN(TabDH12[[#Headers],[:1]])+1),2,3))</f>
        <v>6.666666666666667</v>
      </c>
      <c r="CP7" s="39">
        <f>Grunddaten7[[#This Row],[Sitze im Hauptorgan]]/_xlfn.NUMBERVALUE(MID(INDEX(TabDH12[[#Headers],[:1]:[:19]],COLUMN()-COLUMN(TabDH12[[#Headers],[:1]])+1),2,3))</f>
        <v>5</v>
      </c>
      <c r="CQ7" s="39">
        <f>Grunddaten7[[#This Row],[Sitze im Hauptorgan]]/_xlfn.NUMBERVALUE(MID(INDEX(TabDH12[[#Headers],[:1]:[:19]],COLUMN()-COLUMN(TabDH12[[#Headers],[:1]])+1),2,3))</f>
        <v>4</v>
      </c>
      <c r="CR7" s="39">
        <f>Grunddaten7[[#This Row],[Sitze im Hauptorgan]]/_xlfn.NUMBERVALUE(MID(INDEX(TabDH12[[#Headers],[:1]:[:19]],COLUMN()-COLUMN(TabDH12[[#Headers],[:1]])+1),2,3))</f>
        <v>3.3333333333333335</v>
      </c>
      <c r="CS7" s="39">
        <f>Grunddaten7[[#This Row],[Sitze im Hauptorgan]]/_xlfn.NUMBERVALUE(MID(INDEX(TabDH12[[#Headers],[:1]:[:19]],COLUMN()-COLUMN(TabDH12[[#Headers],[:1]])+1),2,3))</f>
        <v>2.8571428571428572</v>
      </c>
      <c r="CT7" s="39">
        <f>Grunddaten7[[#This Row],[Sitze im Hauptorgan]]/_xlfn.NUMBERVALUE(MID(INDEX(TabDH12[[#Headers],[:1]:[:19]],COLUMN()-COLUMN(TabDH12[[#Headers],[:1]])+1),2,3))</f>
        <v>2.5</v>
      </c>
      <c r="CU7" s="39">
        <f>Grunddaten7[[#This Row],[Sitze im Hauptorgan]]/_xlfn.NUMBERVALUE(MID(INDEX(TabDH12[[#Headers],[:1]:[:19]],COLUMN()-COLUMN(TabDH12[[#Headers],[:1]])+1),2,3))</f>
        <v>2.2222222222222223</v>
      </c>
      <c r="CV7" s="39">
        <f>Grunddaten7[[#This Row],[Sitze im Hauptorgan]]/_xlfn.NUMBERVALUE(MID(INDEX(TabDH12[[#Headers],[:1]:[:19]],COLUMN()-COLUMN(TabDH12[[#Headers],[:1]])+1),2,3))</f>
        <v>2</v>
      </c>
      <c r="CW7" s="39">
        <f>Grunddaten7[[#This Row],[Sitze im Hauptorgan]]/_xlfn.NUMBERVALUE(MID(INDEX(TabDH12[[#Headers],[:1]:[:19]],COLUMN()-COLUMN(TabDH12[[#Headers],[:1]])+1),2,3))</f>
        <v>1.8181818181818181</v>
      </c>
      <c r="CX7" s="39">
        <f>Grunddaten7[[#This Row],[Sitze im Hauptorgan]]/_xlfn.NUMBERVALUE(MID(INDEX(TabDH12[[#Headers],[:1]:[:19]],COLUMN()-COLUMN(TabDH12[[#Headers],[:1]])+1),2,3))</f>
        <v>1.6666666666666667</v>
      </c>
      <c r="CY7" s="39">
        <f>Grunddaten7[[#This Row],[Sitze im Hauptorgan]]/_xlfn.NUMBERVALUE(MID(INDEX(TabDH12[[#Headers],[:1]:[:19]],COLUMN()-COLUMN(TabDH12[[#Headers],[:1]])+1),2,3))</f>
        <v>1.5384615384615385</v>
      </c>
      <c r="CZ7" s="39">
        <f>Grunddaten7[[#This Row],[Sitze im Hauptorgan]]/_xlfn.NUMBERVALUE(MID(INDEX(TabDH12[[#Headers],[:1]:[:19]],COLUMN()-COLUMN(TabDH12[[#Headers],[:1]])+1),2,3))</f>
        <v>1.4285714285714286</v>
      </c>
      <c r="DA7" s="39">
        <f>Grunddaten7[[#This Row],[Sitze im Hauptorgan]]/_xlfn.NUMBERVALUE(MID(INDEX(TabDH12[[#Headers],[:1]:[:19]],COLUMN()-COLUMN(TabDH12[[#Headers],[:1]])+1),2,3))</f>
        <v>1.3333333333333333</v>
      </c>
      <c r="DB7" s="39">
        <f>Grunddaten7[[#This Row],[Sitze im Hauptorgan]]/_xlfn.NUMBERVALUE(MID(INDEX(TabDH12[[#Headers],[:1]:[:19]],COLUMN()-COLUMN(TabDH12[[#Headers],[:1]])+1),2,3))</f>
        <v>1.25</v>
      </c>
      <c r="DC7" s="39">
        <f>Grunddaten7[[#This Row],[Sitze im Hauptorgan]]/_xlfn.NUMBERVALUE(MID(INDEX(TabDH12[[#Headers],[:1]:[:19]],COLUMN()-COLUMN(TabDH12[[#Headers],[:1]])+1),2,3))</f>
        <v>1.1764705882352942</v>
      </c>
      <c r="DD7" s="39">
        <f>Grunddaten7[[#This Row],[Sitze im Hauptorgan]]/_xlfn.NUMBERVALUE(MID(INDEX(TabDH12[[#Headers],[:1]:[:19]],COLUMN()-COLUMN(TabDH12[[#Headers],[:1]])+1),2,3))</f>
        <v>1.1111111111111112</v>
      </c>
      <c r="DE7" s="40">
        <f>Grunddaten7[[#This Row],[Sitze im Hauptorgan]]/_xlfn.NUMBERVALUE(MID(INDEX(TabDH12[[#Headers],[:1]:[:19]],COLUMN()-COLUMN(TabDH12[[#Headers],[:1]])+1),2,3))</f>
        <v>1.0526315789473684</v>
      </c>
      <c r="DF7" s="41">
        <f>_xlfn.RANK.EQ(TabDH12[[#This Row],[:1]],TabDH12[[:1]:[:19]],0)</f>
        <v>1</v>
      </c>
      <c r="DG7" s="42">
        <f>_xlfn.RANK.EQ(TabDH12[[#This Row],[:2]],TabDH12[[:1]:[:19]],0)</f>
        <v>3</v>
      </c>
      <c r="DH7" s="42">
        <f>_xlfn.RANK.EQ(TabDH12[[#This Row],[:3]],TabDH12[[:1]:[:19]],0)</f>
        <v>8</v>
      </c>
      <c r="DI7" s="42">
        <f>_xlfn.RANK.EQ(TabDH12[[#This Row],[:4]],TabDH12[[:1]:[:19]],0)</f>
        <v>10</v>
      </c>
      <c r="DJ7" s="42">
        <f>_xlfn.RANK.EQ(TabDH12[[#This Row],[:5]],TabDH12[[:1]:[:19]],0)</f>
        <v>13</v>
      </c>
      <c r="DK7" s="42">
        <f>_xlfn.RANK.EQ(TabDH12[[#This Row],[:6]],TabDH12[[:1]:[:19]],0)</f>
        <v>18</v>
      </c>
      <c r="DL7" s="42">
        <f>_xlfn.RANK.EQ(TabDH12[[#This Row],[:7]],TabDH12[[:1]:[:19]],0)</f>
        <v>21</v>
      </c>
      <c r="DM7" s="42">
        <f>_xlfn.RANK.EQ(TabDH12[[#This Row],[:8]],TabDH12[[:1]:[:19]],0)</f>
        <v>24</v>
      </c>
      <c r="DN7" s="42">
        <f>_xlfn.RANK.EQ(TabDH12[[#This Row],[:9]],TabDH12[[:1]:[:19]],0)</f>
        <v>29</v>
      </c>
      <c r="DO7" s="42">
        <f>_xlfn.RANK.EQ(TabDH12[[#This Row],[:10]],TabDH12[[:1]:[:19]],0)</f>
        <v>30</v>
      </c>
      <c r="DP7" s="42">
        <f>_xlfn.RANK.EQ(TabDH12[[#This Row],[:11]],TabDH12[[:1]:[:19]],0)</f>
        <v>35</v>
      </c>
      <c r="DQ7" s="42">
        <f>_xlfn.RANK.EQ(TabDH12[[#This Row],[:12]],TabDH12[[:1]:[:19]],0)</f>
        <v>38</v>
      </c>
      <c r="DR7" s="42">
        <f>_xlfn.RANK.EQ(TabDH12[[#This Row],[:13]],TabDH12[[:1]:[:19]],0)</f>
        <v>43</v>
      </c>
      <c r="DS7" s="42">
        <f>_xlfn.RANK.EQ(TabDH12[[#This Row],[:14]],TabDH12[[:1]:[:19]],0)</f>
        <v>45</v>
      </c>
      <c r="DT7" s="42">
        <f>_xlfn.RANK.EQ(TabDH12[[#This Row],[:15]],TabDH12[[:1]:[:19]],0)</f>
        <v>48</v>
      </c>
      <c r="DU7" s="42">
        <f>_xlfn.RANK.EQ(TabDH12[[#This Row],[:16]],TabDH12[[:1]:[:19]],0)</f>
        <v>52</v>
      </c>
      <c r="DV7" s="42">
        <f>_xlfn.RANK.EQ(TabDH12[[#This Row],[:17]],TabDH12[[:1]:[:19]],0)</f>
        <v>56</v>
      </c>
      <c r="DW7" s="42">
        <f>_xlfn.RANK.EQ(TabDH12[[#This Row],[:18]],TabDH12[[:1]:[:19]],0)</f>
        <v>60</v>
      </c>
      <c r="DX7" s="43">
        <f>_xlfn.RANK.EQ(TabDH12[[#This Row],[:19]],TabDH12[[:1]:[:19]],0)</f>
        <v>63</v>
      </c>
      <c r="DY7" s="44" t="str">
        <f>IF(TabDH12[[#This Row],[R1]]&lt;=Sitze_Ausschuss,IF(TabDH12[[#This Row],[R1]]+COUNTIF(TabDH12[[R1]:[R19]],TabDH12[[#This Row],[R1]])-1&lt;=Sitze_Ausschuss,"SITZ","PATT"),"")</f>
        <v>SITZ</v>
      </c>
      <c r="DZ7" s="45" t="str">
        <f>IF(TabDH12[[#This Row],[R2]]&lt;=Sitze_Ausschuss,IF(TabDH12[[#This Row],[R2]]+COUNTIF(TabDH12[[R1]:[R19]],TabDH12[[#This Row],[R2]])-1&lt;=Sitze_Ausschuss,"SITZ","PATT"),"")</f>
        <v>SITZ</v>
      </c>
      <c r="EA7" s="45" t="str">
        <f>IF(TabDH12[[#This Row],[R3]]&lt;=Sitze_Ausschuss,IF(TabDH12[[#This Row],[R3]]+COUNTIF(TabDH12[[R1]:[R19]],TabDH12[[#This Row],[R3]])-1&lt;=Sitze_Ausschuss,"SITZ","PATT"),"")</f>
        <v>SITZ</v>
      </c>
      <c r="EB7" s="45" t="str">
        <f>IF(TabDH12[[#This Row],[R4]]&lt;=Sitze_Ausschuss,IF(TabDH12[[#This Row],[R4]]+COUNTIF(TabDH12[[R1]:[R19]],TabDH12[[#This Row],[R4]])-1&lt;=Sitze_Ausschuss,"SITZ","PATT"),"")</f>
        <v>SITZ</v>
      </c>
      <c r="EC7" s="45" t="str">
        <f>IF(TabDH12[[#This Row],[R5]]&lt;=Sitze_Ausschuss,IF(TabDH12[[#This Row],[R5]]+COUNTIF(TabDH12[[R1]:[R19]],TabDH12[[#This Row],[R5]])-1&lt;=Sitze_Ausschuss,"SITZ","PATT"),"")</f>
        <v>PATT</v>
      </c>
      <c r="ED7" s="45" t="str">
        <f>IF(TabDH12[[#This Row],[R6]]&lt;=Sitze_Ausschuss,IF(TabDH12[[#This Row],[R6]]+COUNTIF(TabDH12[[R1]:[R19]],TabDH12[[#This Row],[R6]])-1&lt;=Sitze_Ausschuss,"SITZ","PATT"),"")</f>
        <v/>
      </c>
      <c r="EE7" s="45" t="str">
        <f>IF(TabDH12[[#This Row],[R7]]&lt;=Sitze_Ausschuss,IF(TabDH12[[#This Row],[R7]]+COUNTIF(TabDH12[[R1]:[R19]],TabDH12[[#This Row],[R7]])-1&lt;=Sitze_Ausschuss,"SITZ","PATT"),"")</f>
        <v/>
      </c>
      <c r="EF7" s="45" t="str">
        <f>IF(TabDH12[[#This Row],[R8]]&lt;=Sitze_Ausschuss,IF(TabDH12[[#This Row],[R8]]+COUNTIF(TabDH12[[R1]:[R19]],TabDH12[[#This Row],[R8]])-1&lt;=Sitze_Ausschuss,"SITZ","PATT"),"")</f>
        <v/>
      </c>
      <c r="EG7" s="45" t="str">
        <f>IF(TabDH12[[#This Row],[R9]]&lt;=Sitze_Ausschuss,IF(TabDH12[[#This Row],[R9]]+COUNTIF(TabDH12[[R1]:[R19]],TabDH12[[#This Row],[R9]])-1&lt;=Sitze_Ausschuss,"SITZ","PATT"),"")</f>
        <v/>
      </c>
      <c r="EH7" s="45" t="str">
        <f>IF(TabDH12[[#This Row],[R10]]&lt;=Sitze_Ausschuss,IF(TabDH12[[#This Row],[R10]]+COUNTIF(TabDH12[[R1]:[R19]],TabDH12[[#This Row],[R10]])-1&lt;=Sitze_Ausschuss,"SITZ","PATT"),"")</f>
        <v/>
      </c>
      <c r="EI7" s="45" t="str">
        <f>IF(TabDH12[[#This Row],[R11]]&lt;=Sitze_Ausschuss,IF(TabDH12[[#This Row],[R11]]+COUNTIF(TabDH12[[R1]:[R19]],TabDH12[[#This Row],[R11]])-1&lt;=Sitze_Ausschuss,"SITZ","PATT"),"")</f>
        <v/>
      </c>
      <c r="EJ7" s="45" t="str">
        <f>IF(TabDH12[[#This Row],[R12]]&lt;=Sitze_Ausschuss,IF(TabDH12[[#This Row],[R12]]+COUNTIF(TabDH12[[R1]:[R19]],TabDH12[[#This Row],[R12]])-1&lt;=Sitze_Ausschuss,"SITZ","PATT"),"")</f>
        <v/>
      </c>
      <c r="EK7" s="45" t="str">
        <f>IF(TabDH12[[#This Row],[R13]]&lt;=Sitze_Ausschuss,IF(TabDH12[[#This Row],[R13]]+COUNTIF(TabDH12[[R1]:[R19]],TabDH12[[#This Row],[R13]])-1&lt;=Sitze_Ausschuss,"SITZ","PATT"),"")</f>
        <v/>
      </c>
      <c r="EL7" s="45" t="str">
        <f>IF(TabDH12[[#This Row],[R14]]&lt;=Sitze_Ausschuss,IF(TabDH12[[#This Row],[R14]]+COUNTIF(TabDH12[[R1]:[R19]],TabDH12[[#This Row],[R14]])-1&lt;=Sitze_Ausschuss,"SITZ","PATT"),"")</f>
        <v/>
      </c>
      <c r="EM7" s="45" t="str">
        <f>IF(TabDH12[[#This Row],[R15]]&lt;=Sitze_Ausschuss,IF(TabDH12[[#This Row],[R15]]+COUNTIF(TabDH12[[R1]:[R19]],TabDH12[[#This Row],[R15]])-1&lt;=Sitze_Ausschuss,"SITZ","PATT"),"")</f>
        <v/>
      </c>
      <c r="EN7" s="45" t="str">
        <f>IF(TabDH12[[#This Row],[R16]]&lt;=Sitze_Ausschuss,IF(TabDH12[[#This Row],[R16]]+COUNTIF(TabDH12[[R1]:[R19]],TabDH12[[#This Row],[R16]])-1&lt;=Sitze_Ausschuss,"SITZ","PATT"),"")</f>
        <v/>
      </c>
      <c r="EO7" s="45" t="str">
        <f>IF(TabDH12[[#This Row],[R17]]&lt;=Sitze_Ausschuss,IF(TabDH12[[#This Row],[R17]]+COUNTIF(TabDH12[[R1]:[R19]],TabDH12[[#This Row],[R17]])-1&lt;=Sitze_Ausschuss,"SITZ","PATT"),"")</f>
        <v/>
      </c>
      <c r="EP7" s="45" t="str">
        <f>IF(TabDH12[[#This Row],[R18]]&lt;=Sitze_Ausschuss,IF(TabDH12[[#This Row],[R18]]+COUNTIF(TabDH12[[R1]:[R19]],TabDH12[[#This Row],[R18]])-1&lt;=Sitze_Ausschuss,"SITZ","PATT"),"")</f>
        <v/>
      </c>
      <c r="EQ7" s="45" t="str">
        <f>IF(TabDH12[[#This Row],[R19]]&lt;=Sitze_Ausschuss,IF(TabDH12[[#This Row],[R19]]+COUNTIF(TabDH12[[R1]:[R19]],TabDH12[[#This Row],[R19]])-1&lt;=Sitze_Ausschuss,"SITZ","PATT"),"")</f>
        <v/>
      </c>
      <c r="ER7" s="47" t="b">
        <f>COUNTIF(TabDH12[[#This Row],[SP1]:[SP19]],"PATT")&gt;0</f>
        <v>1</v>
      </c>
      <c r="ES7" s="33">
        <f>IF(TabDH12[[#This Row],[Patt]],(Sitze_Ausschuss-SUM(TabDH12[Sitze]))/TabDH12[[#Totals],[Patt]],0)</f>
        <v>0.5</v>
      </c>
      <c r="ET7" s="48">
        <f>TabDH12[[#This Row],[Patt]]*IF(Pattaufloesung="Stimmen",TabPatt11[[#This Row],[Stimmen]],0)*1</f>
        <v>0</v>
      </c>
      <c r="EU7" s="49" t="b">
        <f>_xlfn.RANK.EQ(TabDH12[[#This Row],[Stimmen/Gelost]],TabDH12[Stimmen/Gelost],0)&lt;=(Sitze_Ausschuss-SUM(TabDH12[Sitze]))</f>
        <v>1</v>
      </c>
      <c r="EV7" s="50" t="b">
        <f>OR(TabDH12[[#This Row],[Sitze]]&lt;ROUNDDOWN(Grunddaten7[[#This Row],[Proporzgenaue Zahl Ausschuss]],0),TabDH12[[#This Row],[Sitze]]+(TabDH12[[#This Row],[Patt]]*1)&gt;ROUNDUP(Grunddaten7[[#This Row],[Proporzgenaue Zahl Ausschuss]],0))</f>
        <v>1</v>
      </c>
      <c r="EW7" s="3"/>
      <c r="EX7" s="51" t="str">
        <f>Grunddaten7[[#This Row],[Partei/Wählergruppe]]&amp;""</f>
        <v>CSU</v>
      </c>
      <c r="EY7" s="51">
        <f t="shared" ref="EY7:EY21" si="6">IFERROR(VLOOKUP(ROW()-6,Hilf_Parteien,4,FALSE),0)</f>
        <v>6543</v>
      </c>
      <c r="EZ7" s="3"/>
      <c r="FA7" s="3"/>
      <c r="FB7" s="3"/>
      <c r="FC7" s="3"/>
      <c r="FD7" s="3"/>
    </row>
    <row r="8" spans="1:166" x14ac:dyDescent="0.25">
      <c r="A8" s="3"/>
      <c r="B8" s="89" t="str">
        <f t="shared" si="0"/>
        <v>GRÜNE</v>
      </c>
      <c r="C8" s="91">
        <f t="shared" si="1"/>
        <v>16</v>
      </c>
      <c r="D8" s="168">
        <f>Grunddaten7[[#This Row],[Sitze im Hauptorgan]]/Grunddaten7[[#Totals],[Sitze im Hauptorgan]]*Sitze_Ausschuss</f>
        <v>3.1999999999999997</v>
      </c>
      <c r="E8" s="159" t="str">
        <f>IF(ROUNDDOWN(Grunddaten7[[#This Row],[Proporzgenaue Zahl Ausschuss]],0)&lt;&gt;ROUNDUP(Grunddaten7[[#This Row],[Proporzgenaue Zahl Ausschuss]],0), ROUNDDOWN(Grunddaten7[[#This Row],[Proporzgenaue Zahl Ausschuss]],0)&amp;" oder "&amp;ROUNDUP(Grunddaten7[[#This Row],[Proporzgenaue Zahl Ausschuss]],0),ROUND(Grunddaten7[[#This Row],[Proporzgenaue Zahl Ausschuss]],0))</f>
        <v>3 oder 4</v>
      </c>
      <c r="F8" s="52" t="str">
        <f t="shared" si="2"/>
        <v>OK</v>
      </c>
      <c r="G8" s="52" t="str">
        <f>IF(TabSLS10[[#This Row],[QK verletzt]],"NOK","OK")</f>
        <v>OK</v>
      </c>
      <c r="H8" s="53" t="str">
        <f>IF(TabDH12[[#This Row],[QK verletzt]],"NOK","OK")</f>
        <v>OK</v>
      </c>
      <c r="I8" s="163">
        <f t="shared" si="3"/>
        <v>3</v>
      </c>
      <c r="J8" s="163">
        <f t="shared" si="4"/>
        <v>4</v>
      </c>
      <c r="K8" s="163">
        <f t="shared" si="5"/>
        <v>4</v>
      </c>
      <c r="L8" s="3"/>
      <c r="M8" s="92">
        <f>TabHN9[[#This Row],[S ganz]]+IF(NOT(TabHN9[[#This Row],[Patt]]),TabHN9[[#This Row],[Restsitz]],0)</f>
        <v>3</v>
      </c>
      <c r="N8" s="162">
        <f>IF(TabHN9[[#This Row],[Patt]],IF(Pattaufloesung="Los-Chance",TabHN9[[#This Row],[Los Chance]],TabHN9[[#This Row],[Pattgewinn]]+0),0)</f>
        <v>0</v>
      </c>
      <c r="O8" s="30">
        <f>INT(Grunddaten7[[#This Row],[Proporzgenaue Zahl Ausschuss]])</f>
        <v>3</v>
      </c>
      <c r="P8" s="31">
        <f>ROUND(Grunddaten7[[#This Row],[Proporzgenaue Zahl Ausschuss]]-TabHN9[[#This Row],[S ganz]],4)</f>
        <v>0.2</v>
      </c>
      <c r="Q8" s="32">
        <f>_xlfn.RANK.EQ(TabHN9[[#This Row],[S Rest]],TabHN9[S Rest],0)</f>
        <v>4</v>
      </c>
      <c r="R8" s="30">
        <f>IF(TabHN9[[#This Row],[Rng Rest]]&lt;=TabHN9[[#Totals],[S Rest]],1,0)</f>
        <v>0</v>
      </c>
      <c r="S8" s="30" t="b">
        <f>AND(TabHN9[[#This Row],[Restsitz]]=1,(COUNTIF(TabHN9[Rng Rest],TabHN9[[#This Row],[Rng Rest]])+TabHN9[[#This Row],[Rng Rest]]-1)&gt;TabHN9[[#Totals],[S Rest]])</f>
        <v>0</v>
      </c>
      <c r="T8" s="33">
        <f>IF(TabHN9[[#This Row],[Patt]],(Sitze_Ausschuss-SUM(TabHN9[Sitze]))/TabHN9[[#Totals],[Patt]],0)</f>
        <v>0</v>
      </c>
      <c r="U8" s="34">
        <f>TabHN9[[#This Row],[Patt]]*IF(Pattaufloesung="Stimmen",TabPatt11[[#This Row],[Stimmen]],0)*1</f>
        <v>0</v>
      </c>
      <c r="V8" s="35" t="b">
        <f>_xlfn.RANK.EQ(TabHN9[[#This Row],[Stimmen/Gelost]],TabHN9[Stimmen/Gelost],0)&lt;=(Sitze_Ausschuss-SUM(TabHN9[Sitze]))</f>
        <v>0</v>
      </c>
      <c r="W8" s="3"/>
      <c r="X8" s="36">
        <f>COUNTIF(TabSLS10[[#This Row],[SP1]:[SP37]],"SITZ")</f>
        <v>3</v>
      </c>
      <c r="Y8" s="37">
        <f>IF(TabSLS10[[#This Row],[Patt?]],IF(Pattaufloesung="Los-Chance",TabSLS10[[#This Row],[Los Chance]],TabSLS10[[#This Row],[Pattgewinn]]+0),0)</f>
        <v>0</v>
      </c>
      <c r="Z8" s="38">
        <f>Grunddaten7[[#This Row],[Sitze im Hauptorgan]]/_xlfn.NUMBERVALUE(MID(INDEX(TabSLS10[[#Headers],[:1]:[:37]],COLUMN()-COLUMN(TabSLS10[[#Headers],[:1]])+1),2,3))</f>
        <v>16</v>
      </c>
      <c r="AA8" s="39">
        <f>Grunddaten7[[#This Row],[Sitze im Hauptorgan]]/_xlfn.NUMBERVALUE(MID(INDEX(TabSLS10[[#Headers],[:1]:[:37]],COLUMN()-COLUMN(TabSLS10[[#Headers],[:1]])+1),2,3))</f>
        <v>5.333333333333333</v>
      </c>
      <c r="AB8" s="39">
        <f>Grunddaten7[[#This Row],[Sitze im Hauptorgan]]/_xlfn.NUMBERVALUE(MID(INDEX(TabSLS10[[#Headers],[:1]:[:37]],COLUMN()-COLUMN(TabSLS10[[#Headers],[:1]])+1),2,3))</f>
        <v>3.2</v>
      </c>
      <c r="AC8" s="39">
        <f>Grunddaten7[[#This Row],[Sitze im Hauptorgan]]/_xlfn.NUMBERVALUE(MID(INDEX(TabSLS10[[#Headers],[:1]:[:37]],COLUMN()-COLUMN(TabSLS10[[#Headers],[:1]])+1),2,3))</f>
        <v>2.2857142857142856</v>
      </c>
      <c r="AD8" s="39">
        <f>Grunddaten7[[#This Row],[Sitze im Hauptorgan]]/_xlfn.NUMBERVALUE(MID(INDEX(TabSLS10[[#Headers],[:1]:[:37]],COLUMN()-COLUMN(TabSLS10[[#Headers],[:1]])+1),2,3))</f>
        <v>1.7777777777777777</v>
      </c>
      <c r="AE8" s="39">
        <f>Grunddaten7[[#This Row],[Sitze im Hauptorgan]]/_xlfn.NUMBERVALUE(MID(INDEX(TabSLS10[[#Headers],[:1]:[:37]],COLUMN()-COLUMN(TabSLS10[[#Headers],[:1]])+1),2,3))</f>
        <v>1.4545454545454546</v>
      </c>
      <c r="AF8" s="39">
        <f>Grunddaten7[[#This Row],[Sitze im Hauptorgan]]/_xlfn.NUMBERVALUE(MID(INDEX(TabSLS10[[#Headers],[:1]:[:37]],COLUMN()-COLUMN(TabSLS10[[#Headers],[:1]])+1),2,3))</f>
        <v>1.2307692307692308</v>
      </c>
      <c r="AG8" s="39">
        <f>Grunddaten7[[#This Row],[Sitze im Hauptorgan]]/_xlfn.NUMBERVALUE(MID(INDEX(TabSLS10[[#Headers],[:1]:[:37]],COLUMN()-COLUMN(TabSLS10[[#Headers],[:1]])+1),2,3))</f>
        <v>1.0666666666666667</v>
      </c>
      <c r="AH8" s="39">
        <f>Grunddaten7[[#This Row],[Sitze im Hauptorgan]]/_xlfn.NUMBERVALUE(MID(INDEX(TabSLS10[[#Headers],[:1]:[:37]],COLUMN()-COLUMN(TabSLS10[[#Headers],[:1]])+1),2,3))</f>
        <v>0.94117647058823528</v>
      </c>
      <c r="AI8" s="39">
        <f>Grunddaten7[[#This Row],[Sitze im Hauptorgan]]/_xlfn.NUMBERVALUE(MID(INDEX(TabSLS10[[#Headers],[:1]:[:37]],COLUMN()-COLUMN(TabSLS10[[#Headers],[:1]])+1),2,3))</f>
        <v>0.84210526315789469</v>
      </c>
      <c r="AJ8" s="39">
        <f>Grunddaten7[[#This Row],[Sitze im Hauptorgan]]/_xlfn.NUMBERVALUE(MID(INDEX(TabSLS10[[#Headers],[:1]:[:37]],COLUMN()-COLUMN(TabSLS10[[#Headers],[:1]])+1),2,3))</f>
        <v>0.76190476190476186</v>
      </c>
      <c r="AK8" s="39">
        <f>Grunddaten7[[#This Row],[Sitze im Hauptorgan]]/_xlfn.NUMBERVALUE(MID(INDEX(TabSLS10[[#Headers],[:1]:[:37]],COLUMN()-COLUMN(TabSLS10[[#Headers],[:1]])+1),2,3))</f>
        <v>0.69565217391304346</v>
      </c>
      <c r="AL8" s="39">
        <f>Grunddaten7[[#This Row],[Sitze im Hauptorgan]]/_xlfn.NUMBERVALUE(MID(INDEX(TabSLS10[[#Headers],[:1]:[:37]],COLUMN()-COLUMN(TabSLS10[[#Headers],[:1]])+1),2,3))</f>
        <v>0.64</v>
      </c>
      <c r="AM8" s="39">
        <f>Grunddaten7[[#This Row],[Sitze im Hauptorgan]]/_xlfn.NUMBERVALUE(MID(INDEX(TabSLS10[[#Headers],[:1]:[:37]],COLUMN()-COLUMN(TabSLS10[[#Headers],[:1]])+1),2,3))</f>
        <v>0.59259259259259256</v>
      </c>
      <c r="AN8" s="39">
        <f>Grunddaten7[[#This Row],[Sitze im Hauptorgan]]/_xlfn.NUMBERVALUE(MID(INDEX(TabSLS10[[#Headers],[:1]:[:37]],COLUMN()-COLUMN(TabSLS10[[#Headers],[:1]])+1),2,3))</f>
        <v>0.55172413793103448</v>
      </c>
      <c r="AO8" s="39">
        <f>Grunddaten7[[#This Row],[Sitze im Hauptorgan]]/_xlfn.NUMBERVALUE(MID(INDEX(TabSLS10[[#Headers],[:1]:[:37]],COLUMN()-COLUMN(TabSLS10[[#Headers],[:1]])+1),2,3))</f>
        <v>0.5161290322580645</v>
      </c>
      <c r="AP8" s="39">
        <f>Grunddaten7[[#This Row],[Sitze im Hauptorgan]]/_xlfn.NUMBERVALUE(MID(INDEX(TabSLS10[[#Headers],[:1]:[:37]],COLUMN()-COLUMN(TabSLS10[[#Headers],[:1]])+1),2,3))</f>
        <v>0.48484848484848486</v>
      </c>
      <c r="AQ8" s="39">
        <f>Grunddaten7[[#This Row],[Sitze im Hauptorgan]]/_xlfn.NUMBERVALUE(MID(INDEX(TabSLS10[[#Headers],[:1]:[:37]],COLUMN()-COLUMN(TabSLS10[[#Headers],[:1]])+1),2,3))</f>
        <v>0.45714285714285713</v>
      </c>
      <c r="AR8" s="40">
        <f>Grunddaten7[[#This Row],[Sitze im Hauptorgan]]/_xlfn.NUMBERVALUE(MID(INDEX(TabSLS10[[#Headers],[:1]:[:37]],COLUMN()-COLUMN(TabSLS10[[#Headers],[:1]])+1),2,3))</f>
        <v>0.43243243243243246</v>
      </c>
      <c r="AS8" s="41">
        <f>_xlfn.RANK.EQ(TabSLS10[[#This Row],[:1]],TabSLS10[[:1]:[:37]],0)</f>
        <v>2</v>
      </c>
      <c r="AT8" s="42">
        <f>_xlfn.RANK.EQ(TabSLS10[[#This Row],[:3]],TabSLS10[[:1]:[:37]],0)</f>
        <v>7</v>
      </c>
      <c r="AU8" s="42">
        <f>_xlfn.RANK.EQ(TabSLS10[[#This Row],[:5]],TabSLS10[[:1]:[:37]],0)</f>
        <v>12</v>
      </c>
      <c r="AV8" s="42">
        <f>_xlfn.RANK.EQ(TabSLS10[[#This Row],[:7]],TabSLS10[[:1]:[:37]],0)</f>
        <v>16</v>
      </c>
      <c r="AW8" s="42">
        <f>_xlfn.RANK.EQ(TabSLS10[[#This Row],[:9]],TabSLS10[[:1]:[:37]],0)</f>
        <v>20</v>
      </c>
      <c r="AX8" s="42">
        <f>_xlfn.RANK.EQ(TabSLS10[[#This Row],[:11]],TabSLS10[[:1]:[:37]],0)</f>
        <v>24</v>
      </c>
      <c r="AY8" s="42">
        <f>_xlfn.RANK.EQ(TabSLS10[[#This Row],[:13]],TabSLS10[[:1]:[:37]],0)</f>
        <v>29</v>
      </c>
      <c r="AZ8" s="42">
        <f>_xlfn.RANK.EQ(TabSLS10[[#This Row],[:15]],TabSLS10[[:1]:[:37]],0)</f>
        <v>33</v>
      </c>
      <c r="BA8" s="42">
        <f>_xlfn.RANK.EQ(TabSLS10[[#This Row],[:17]],TabSLS10[[:1]:[:37]],0)</f>
        <v>38</v>
      </c>
      <c r="BB8" s="42">
        <f>_xlfn.RANK.EQ(TabSLS10[[#This Row],[:19]],TabSLS10[[:1]:[:37]],0)</f>
        <v>42</v>
      </c>
      <c r="BC8" s="42">
        <f>_xlfn.RANK.EQ(TabSLS10[[#This Row],[:21]],TabSLS10[[:1]:[:37]],0)</f>
        <v>47</v>
      </c>
      <c r="BD8" s="42">
        <f>_xlfn.RANK.EQ(TabSLS10[[#This Row],[:23]],TabSLS10[[:1]:[:37]],0)</f>
        <v>51</v>
      </c>
      <c r="BE8" s="42">
        <f>_xlfn.RANK.EQ(TabSLS10[[#This Row],[:25]],TabSLS10[[:1]:[:37]],0)</f>
        <v>55</v>
      </c>
      <c r="BF8" s="42">
        <f>_xlfn.RANK.EQ(TabSLS10[[#This Row],[:27]],TabSLS10[[:1]:[:37]],0)</f>
        <v>59</v>
      </c>
      <c r="BG8" s="42">
        <f>_xlfn.RANK.EQ(TabSLS10[[#This Row],[:29]],TabSLS10[[:1]:[:37]],0)</f>
        <v>64</v>
      </c>
      <c r="BH8" s="42">
        <f>_xlfn.RANK.EQ(TabSLS10[[#This Row],[:31]],TabSLS10[[:1]:[:37]],0)</f>
        <v>69</v>
      </c>
      <c r="BI8" s="42">
        <f>_xlfn.RANK.EQ(TabSLS10[[#This Row],[:33]],TabSLS10[[:1]:[:37]],0)</f>
        <v>70</v>
      </c>
      <c r="BJ8" s="42">
        <f>_xlfn.RANK.EQ(TabSLS10[[#This Row],[:35]],TabSLS10[[:1]:[:37]],0)</f>
        <v>74</v>
      </c>
      <c r="BK8" s="43">
        <f>_xlfn.RANK.EQ(TabSLS10[[#This Row],[:37]],TabSLS10[[:1]:[:37]],0)</f>
        <v>78</v>
      </c>
      <c r="BL8" s="44" t="str">
        <f>IF(TabSLS10[[#This Row],[R1]]&lt;=Sitze_Ausschuss,IF(TabSLS10[[#This Row],[R1]]+COUNTIF(TabSLS10[[R1]:[R37]],TabSLS10[[#This Row],[R1]])-1&lt;=Sitze_Ausschuss,"SITZ","PATT"),"")</f>
        <v>SITZ</v>
      </c>
      <c r="BM8" s="45" t="str">
        <f>IF(TabSLS10[[#This Row],[R3]]&lt;=Sitze_Ausschuss,IF(TabSLS10[[#This Row],[R3]]+COUNTIF(TabSLS10[[R1]:[R37]],TabSLS10[[#This Row],[R3]])-1&lt;=Sitze_Ausschuss,"SITZ","PATT"),"")</f>
        <v>SITZ</v>
      </c>
      <c r="BN8" s="45" t="str">
        <f>IF(TabSLS10[[#This Row],[R5]]&lt;=Sitze_Ausschuss,IF(TabSLS10[[#This Row],[R5]]+COUNTIF(TabSLS10[[R1]:[R37]],TabSLS10[[#This Row],[R5]])-1&lt;=Sitze_Ausschuss,"SITZ","PATT"),"")</f>
        <v>SITZ</v>
      </c>
      <c r="BO8" s="45" t="str">
        <f>IF(TabSLS10[[#This Row],[R7]]&lt;=Sitze_Ausschuss,IF(TabSLS10[[#This Row],[R7]]+COUNTIF(TabSLS10[[R1]:[R37]],TabSLS10[[#This Row],[R7]])-1&lt;=Sitze_Ausschuss,"SITZ","PATT"),"")</f>
        <v/>
      </c>
      <c r="BP8" s="45" t="str">
        <f>IF(TabSLS10[[#This Row],[R9]]&lt;=Sitze_Ausschuss,IF(TabSLS10[[#This Row],[R9]]+COUNTIF(TabSLS10[[R1]:[R37]],TabSLS10[[#This Row],[R9]])-1&lt;=Sitze_Ausschuss,"SITZ","PATT"),"")</f>
        <v/>
      </c>
      <c r="BQ8" s="45" t="str">
        <f>IF(TabSLS10[[#This Row],[R11]]&lt;=Sitze_Ausschuss,IF(TabSLS10[[#This Row],[R11]]+COUNTIF(TabSLS10[[R1]:[R37]],TabSLS10[[#This Row],[R11]])-1&lt;=Sitze_Ausschuss,"SITZ","PATT"),"")</f>
        <v/>
      </c>
      <c r="BR8" s="45" t="str">
        <f>IF(TabSLS10[[#This Row],[R13]]&lt;=Sitze_Ausschuss,IF(TabSLS10[[#This Row],[R13]]+COUNTIF(TabSLS10[[R1]:[R37]],TabSLS10[[#This Row],[R13]])-1&lt;=Sitze_Ausschuss,"SITZ","PATT"),"")</f>
        <v/>
      </c>
      <c r="BS8" s="45" t="str">
        <f>IF(TabSLS10[[#This Row],[R15]]&lt;=Sitze_Ausschuss,IF(TabSLS10[[#This Row],[R15]]+COUNTIF(TabSLS10[[R1]:[R37]],TabSLS10[[#This Row],[R15]])-1&lt;=Sitze_Ausschuss,"SITZ","PATT"),"")</f>
        <v/>
      </c>
      <c r="BT8" s="45" t="str">
        <f>IF(TabSLS10[[#This Row],[R17]]&lt;=Sitze_Ausschuss,IF(TabSLS10[[#This Row],[R17]]+COUNTIF(TabSLS10[[R1]:[R37]],TabSLS10[[#This Row],[R17]])-1&lt;=Sitze_Ausschuss,"SITZ","PATT"),"")</f>
        <v/>
      </c>
      <c r="BU8" s="45" t="str">
        <f>IF(TabSLS10[[#This Row],[R19]]&lt;=Sitze_Ausschuss,IF(TabSLS10[[#This Row],[R19]]+COUNTIF(TabSLS10[[R1]:[R37]],TabSLS10[[#This Row],[R19]])-1&lt;=Sitze_Ausschuss,"SITZ","PATT"),"")</f>
        <v/>
      </c>
      <c r="BV8" s="45" t="str">
        <f>IF(TabSLS10[[#This Row],[R21]]&lt;=Sitze_Ausschuss,IF(TabSLS10[[#This Row],[R21]]+COUNTIF(TabSLS10[[R1]:[R37]],TabSLS10[[#This Row],[R21]])-1&lt;=Sitze_Ausschuss,"SITZ","PATT"),"")</f>
        <v/>
      </c>
      <c r="BW8" s="45" t="str">
        <f>IF(TabSLS10[[#This Row],[R23]]&lt;=Sitze_Ausschuss,IF(TabSLS10[[#This Row],[R23]]+COUNTIF(TabSLS10[[R1]:[R37]],TabSLS10[[#This Row],[R23]])-1&lt;=Sitze_Ausschuss,"SITZ","PATT"),"")</f>
        <v/>
      </c>
      <c r="BX8" s="45" t="str">
        <f>IF(TabSLS10[[#This Row],[R25]]&lt;=Sitze_Ausschuss,IF(TabSLS10[[#This Row],[R25]]+COUNTIF(TabSLS10[[R1]:[R37]],TabSLS10[[#This Row],[R25]])-1&lt;=Sitze_Ausschuss,"SITZ","PATT"),"")</f>
        <v/>
      </c>
      <c r="BY8" s="45" t="str">
        <f>IF(TabSLS10[[#This Row],[R27]]&lt;=Sitze_Ausschuss,IF(TabSLS10[[#This Row],[R27]]+COUNTIF(TabSLS10[[R1]:[R37]],TabSLS10[[#This Row],[R27]])-1&lt;=Sitze_Ausschuss,"SITZ","PATT"),"")</f>
        <v/>
      </c>
      <c r="BZ8" s="45" t="str">
        <f>IF(TabSLS10[[#This Row],[R29]]&lt;=Sitze_Ausschuss,IF(TabSLS10[[#This Row],[R29]]+COUNTIF(TabSLS10[[R1]:[R37]],TabSLS10[[#This Row],[R29]])-1&lt;=Sitze_Ausschuss,"SITZ","PATT"),"")</f>
        <v/>
      </c>
      <c r="CA8" s="45" t="str">
        <f>IF(TabSLS10[[#This Row],[R31]]&lt;=Sitze_Ausschuss,IF(TabSLS10[[#This Row],[R31]]+COUNTIF(TabSLS10[[R1]:[R37]],TabSLS10[[#This Row],[R31]])-1&lt;=Sitze_Ausschuss,"SITZ","PATT"),"")</f>
        <v/>
      </c>
      <c r="CB8" s="45" t="str">
        <f>IF(TabSLS10[[#This Row],[R33]]&lt;=Sitze_Ausschuss,IF(TabSLS10[[#This Row],[R33]]+COUNTIF(TabSLS10[[R1]:[R37]],TabSLS10[[#This Row],[R33]])-1&lt;=Sitze_Ausschuss,"SITZ","PATT"),"")</f>
        <v/>
      </c>
      <c r="CC8" s="45" t="str">
        <f>IF(TabSLS10[[#This Row],[R35]]&lt;=Sitze_Ausschuss,IF(TabSLS10[[#This Row],[R35]]+COUNTIF(TabSLS10[[R1]:[R37]],TabSLS10[[#This Row],[R35]])-1&lt;=Sitze_Ausschuss,"SITZ","PATT"),"")</f>
        <v/>
      </c>
      <c r="CD8" s="46" t="str">
        <f>IF(TabSLS10[[#This Row],[R37]]&lt;=Sitze_Ausschuss,IF(TabSLS10[[#This Row],[R37]]+COUNTIF(TabSLS10[[R1]:[R37]],TabSLS10[[#This Row],[R37]])-1&lt;=Sitze_Ausschuss,"SITZ","PATT"),"")</f>
        <v/>
      </c>
      <c r="CE8" s="47" t="b">
        <f>COUNTIF(TabSLS10[[#This Row],[SP1]:[SP37]],"PATT")&gt;0</f>
        <v>0</v>
      </c>
      <c r="CF8" s="33">
        <f>IF(TabSLS10[[#This Row],[Patt?]],(Sitze_Ausschuss-SUM(TabSLS10[Sitze]))/TabSLS10[[#Totals],[Patt?]],0)</f>
        <v>0</v>
      </c>
      <c r="CG8" s="48">
        <f>TabSLS10[[#This Row],[Patt?]]*IF(Pattaufloesung="Stimmen",TabPatt11[[#This Row],[Stimmen]],0)*1</f>
        <v>0</v>
      </c>
      <c r="CH8" s="49" t="b">
        <f>_xlfn.RANK.EQ(TabSLS10[[#This Row],[Stimmen Gelost]],TabSLS10[Stimmen Gelost],0)&lt;=(Sitze_Ausschuss-SUM(TabSLS10[Sitze]))</f>
        <v>0</v>
      </c>
      <c r="CI8" s="50" t="b">
        <f>OR(TabSLS10[[#This Row],[Sitze]]&lt;ROUNDDOWN(Grunddaten7[[#This Row],[Proporzgenaue Zahl Ausschuss]],0),TabSLS10[[#This Row],[Sitze]]+(TabSLS10[[#This Row],[Patt?]]*1)&gt;ROUNDUP(Grunddaten7[[#This Row],[Proporzgenaue Zahl Ausschuss]],0))</f>
        <v>0</v>
      </c>
      <c r="CJ8" s="3"/>
      <c r="CK8" s="36">
        <f>COUNTIF(TabDH12[[#This Row],[SP1]:[SP19]],"SITZ")</f>
        <v>3</v>
      </c>
      <c r="CL8" s="37">
        <f>IF(TabDH12[[#This Row],[Patt]],IF(Pattaufloesung="Los-Chance",TabDH12[[#This Row],[Los Chance]],TabDH12[[#This Row],[Pattgewinn]]+0),0)</f>
        <v>0.5</v>
      </c>
      <c r="CM8" s="38">
        <f>Grunddaten7[[#This Row],[Sitze im Hauptorgan]]/_xlfn.NUMBERVALUE(MID(INDEX(TabDH12[[#Headers],[:1]:[:19]],COLUMN()-COLUMN(TabDH12[[#Headers],[:1]])+1),2,3))</f>
        <v>16</v>
      </c>
      <c r="CN8" s="39">
        <f>Grunddaten7[[#This Row],[Sitze im Hauptorgan]]/_xlfn.NUMBERVALUE(MID(INDEX(TabDH12[[#Headers],[:1]:[:19]],COLUMN()-COLUMN(TabDH12[[#Headers],[:1]])+1),2,3))</f>
        <v>8</v>
      </c>
      <c r="CO8" s="39">
        <f>Grunddaten7[[#This Row],[Sitze im Hauptorgan]]/_xlfn.NUMBERVALUE(MID(INDEX(TabDH12[[#Headers],[:1]:[:19]],COLUMN()-COLUMN(TabDH12[[#Headers],[:1]])+1),2,3))</f>
        <v>5.333333333333333</v>
      </c>
      <c r="CP8" s="39">
        <f>Grunddaten7[[#This Row],[Sitze im Hauptorgan]]/_xlfn.NUMBERVALUE(MID(INDEX(TabDH12[[#Headers],[:1]:[:19]],COLUMN()-COLUMN(TabDH12[[#Headers],[:1]])+1),2,3))</f>
        <v>4</v>
      </c>
      <c r="CQ8" s="39">
        <f>Grunddaten7[[#This Row],[Sitze im Hauptorgan]]/_xlfn.NUMBERVALUE(MID(INDEX(TabDH12[[#Headers],[:1]:[:19]],COLUMN()-COLUMN(TabDH12[[#Headers],[:1]])+1),2,3))</f>
        <v>3.2</v>
      </c>
      <c r="CR8" s="39">
        <f>Grunddaten7[[#This Row],[Sitze im Hauptorgan]]/_xlfn.NUMBERVALUE(MID(INDEX(TabDH12[[#Headers],[:1]:[:19]],COLUMN()-COLUMN(TabDH12[[#Headers],[:1]])+1),2,3))</f>
        <v>2.6666666666666665</v>
      </c>
      <c r="CS8" s="39">
        <f>Grunddaten7[[#This Row],[Sitze im Hauptorgan]]/_xlfn.NUMBERVALUE(MID(INDEX(TabDH12[[#Headers],[:1]:[:19]],COLUMN()-COLUMN(TabDH12[[#Headers],[:1]])+1),2,3))</f>
        <v>2.2857142857142856</v>
      </c>
      <c r="CT8" s="39">
        <f>Grunddaten7[[#This Row],[Sitze im Hauptorgan]]/_xlfn.NUMBERVALUE(MID(INDEX(TabDH12[[#Headers],[:1]:[:19]],COLUMN()-COLUMN(TabDH12[[#Headers],[:1]])+1),2,3))</f>
        <v>2</v>
      </c>
      <c r="CU8" s="39">
        <f>Grunddaten7[[#This Row],[Sitze im Hauptorgan]]/_xlfn.NUMBERVALUE(MID(INDEX(TabDH12[[#Headers],[:1]:[:19]],COLUMN()-COLUMN(TabDH12[[#Headers],[:1]])+1),2,3))</f>
        <v>1.7777777777777777</v>
      </c>
      <c r="CV8" s="39">
        <f>Grunddaten7[[#This Row],[Sitze im Hauptorgan]]/_xlfn.NUMBERVALUE(MID(INDEX(TabDH12[[#Headers],[:1]:[:19]],COLUMN()-COLUMN(TabDH12[[#Headers],[:1]])+1),2,3))</f>
        <v>1.6</v>
      </c>
      <c r="CW8" s="39">
        <f>Grunddaten7[[#This Row],[Sitze im Hauptorgan]]/_xlfn.NUMBERVALUE(MID(INDEX(TabDH12[[#Headers],[:1]:[:19]],COLUMN()-COLUMN(TabDH12[[#Headers],[:1]])+1),2,3))</f>
        <v>1.4545454545454546</v>
      </c>
      <c r="CX8" s="39">
        <f>Grunddaten7[[#This Row],[Sitze im Hauptorgan]]/_xlfn.NUMBERVALUE(MID(INDEX(TabDH12[[#Headers],[:1]:[:19]],COLUMN()-COLUMN(TabDH12[[#Headers],[:1]])+1),2,3))</f>
        <v>1.3333333333333333</v>
      </c>
      <c r="CY8" s="39">
        <f>Grunddaten7[[#This Row],[Sitze im Hauptorgan]]/_xlfn.NUMBERVALUE(MID(INDEX(TabDH12[[#Headers],[:1]:[:19]],COLUMN()-COLUMN(TabDH12[[#Headers],[:1]])+1),2,3))</f>
        <v>1.2307692307692308</v>
      </c>
      <c r="CZ8" s="39">
        <f>Grunddaten7[[#This Row],[Sitze im Hauptorgan]]/_xlfn.NUMBERVALUE(MID(INDEX(TabDH12[[#Headers],[:1]:[:19]],COLUMN()-COLUMN(TabDH12[[#Headers],[:1]])+1),2,3))</f>
        <v>1.1428571428571428</v>
      </c>
      <c r="DA8" s="39">
        <f>Grunddaten7[[#This Row],[Sitze im Hauptorgan]]/_xlfn.NUMBERVALUE(MID(INDEX(TabDH12[[#Headers],[:1]:[:19]],COLUMN()-COLUMN(TabDH12[[#Headers],[:1]])+1),2,3))</f>
        <v>1.0666666666666667</v>
      </c>
      <c r="DB8" s="39">
        <f>Grunddaten7[[#This Row],[Sitze im Hauptorgan]]/_xlfn.NUMBERVALUE(MID(INDEX(TabDH12[[#Headers],[:1]:[:19]],COLUMN()-COLUMN(TabDH12[[#Headers],[:1]])+1),2,3))</f>
        <v>1</v>
      </c>
      <c r="DC8" s="39">
        <f>Grunddaten7[[#This Row],[Sitze im Hauptorgan]]/_xlfn.NUMBERVALUE(MID(INDEX(TabDH12[[#Headers],[:1]:[:19]],COLUMN()-COLUMN(TabDH12[[#Headers],[:1]])+1),2,3))</f>
        <v>0.94117647058823528</v>
      </c>
      <c r="DD8" s="39">
        <f>Grunddaten7[[#This Row],[Sitze im Hauptorgan]]/_xlfn.NUMBERVALUE(MID(INDEX(TabDH12[[#Headers],[:1]:[:19]],COLUMN()-COLUMN(TabDH12[[#Headers],[:1]])+1),2,3))</f>
        <v>0.88888888888888884</v>
      </c>
      <c r="DE8" s="40">
        <f>Grunddaten7[[#This Row],[Sitze im Hauptorgan]]/_xlfn.NUMBERVALUE(MID(INDEX(TabDH12[[#Headers],[:1]:[:19]],COLUMN()-COLUMN(TabDH12[[#Headers],[:1]])+1),2,3))</f>
        <v>0.84210526315789469</v>
      </c>
      <c r="DF8" s="41">
        <f>_xlfn.RANK.EQ(TabDH12[[#This Row],[:1]],TabDH12[[:1]:[:19]],0)</f>
        <v>2</v>
      </c>
      <c r="DG8" s="42">
        <f>_xlfn.RANK.EQ(TabDH12[[#This Row],[:2]],TabDH12[[:1]:[:19]],0)</f>
        <v>5</v>
      </c>
      <c r="DH8" s="42">
        <f>_xlfn.RANK.EQ(TabDH12[[#This Row],[:3]],TabDH12[[:1]:[:19]],0)</f>
        <v>9</v>
      </c>
      <c r="DI8" s="42">
        <f>_xlfn.RANK.EQ(TabDH12[[#This Row],[:4]],TabDH12[[:1]:[:19]],0)</f>
        <v>13</v>
      </c>
      <c r="DJ8" s="42">
        <f>_xlfn.RANK.EQ(TabDH12[[#This Row],[:5]],TabDH12[[:1]:[:19]],0)</f>
        <v>20</v>
      </c>
      <c r="DK8" s="42">
        <f>_xlfn.RANK.EQ(TabDH12[[#This Row],[:6]],TabDH12[[:1]:[:19]],0)</f>
        <v>22</v>
      </c>
      <c r="DL8" s="42">
        <f>_xlfn.RANK.EQ(TabDH12[[#This Row],[:7]],TabDH12[[:1]:[:19]],0)</f>
        <v>28</v>
      </c>
      <c r="DM8" s="42">
        <f>_xlfn.RANK.EQ(TabDH12[[#This Row],[:8]],TabDH12[[:1]:[:19]],0)</f>
        <v>30</v>
      </c>
      <c r="DN8" s="42">
        <f>_xlfn.RANK.EQ(TabDH12[[#This Row],[:9]],TabDH12[[:1]:[:19]],0)</f>
        <v>36</v>
      </c>
      <c r="DO8" s="42">
        <f>_xlfn.RANK.EQ(TabDH12[[#This Row],[:10]],TabDH12[[:1]:[:19]],0)</f>
        <v>41</v>
      </c>
      <c r="DP8" s="42">
        <f>_xlfn.RANK.EQ(TabDH12[[#This Row],[:11]],TabDH12[[:1]:[:19]],0)</f>
        <v>44</v>
      </c>
      <c r="DQ8" s="42">
        <f>_xlfn.RANK.EQ(TabDH12[[#This Row],[:12]],TabDH12[[:1]:[:19]],0)</f>
        <v>48</v>
      </c>
      <c r="DR8" s="42">
        <f>_xlfn.RANK.EQ(TabDH12[[#This Row],[:13]],TabDH12[[:1]:[:19]],0)</f>
        <v>55</v>
      </c>
      <c r="DS8" s="42">
        <f>_xlfn.RANK.EQ(TabDH12[[#This Row],[:14]],TabDH12[[:1]:[:19]],0)</f>
        <v>58</v>
      </c>
      <c r="DT8" s="42">
        <f>_xlfn.RANK.EQ(TabDH12[[#This Row],[:15]],TabDH12[[:1]:[:19]],0)</f>
        <v>62</v>
      </c>
      <c r="DU8" s="42">
        <f>_xlfn.RANK.EQ(TabDH12[[#This Row],[:16]],TabDH12[[:1]:[:19]],0)</f>
        <v>64</v>
      </c>
      <c r="DV8" s="42">
        <f>_xlfn.RANK.EQ(TabDH12[[#This Row],[:17]],TabDH12[[:1]:[:19]],0)</f>
        <v>70</v>
      </c>
      <c r="DW8" s="42">
        <f>_xlfn.RANK.EQ(TabDH12[[#This Row],[:18]],TabDH12[[:1]:[:19]],0)</f>
        <v>72</v>
      </c>
      <c r="DX8" s="43">
        <f>_xlfn.RANK.EQ(TabDH12[[#This Row],[:19]],TabDH12[[:1]:[:19]],0)</f>
        <v>75</v>
      </c>
      <c r="DY8" s="44" t="str">
        <f>IF(TabDH12[[#This Row],[R1]]&lt;=Sitze_Ausschuss,IF(TabDH12[[#This Row],[R1]]+COUNTIF(TabDH12[[R1]:[R19]],TabDH12[[#This Row],[R1]])-1&lt;=Sitze_Ausschuss,"SITZ","PATT"),"")</f>
        <v>SITZ</v>
      </c>
      <c r="DZ8" s="45" t="str">
        <f>IF(TabDH12[[#This Row],[R2]]&lt;=Sitze_Ausschuss,IF(TabDH12[[#This Row],[R2]]+COUNTIF(TabDH12[[R1]:[R19]],TabDH12[[#This Row],[R2]])-1&lt;=Sitze_Ausschuss,"SITZ","PATT"),"")</f>
        <v>SITZ</v>
      </c>
      <c r="EA8" s="45" t="str">
        <f>IF(TabDH12[[#This Row],[R3]]&lt;=Sitze_Ausschuss,IF(TabDH12[[#This Row],[R3]]+COUNTIF(TabDH12[[R1]:[R19]],TabDH12[[#This Row],[R3]])-1&lt;=Sitze_Ausschuss,"SITZ","PATT"),"")</f>
        <v>SITZ</v>
      </c>
      <c r="EB8" s="45" t="str">
        <f>IF(TabDH12[[#This Row],[R4]]&lt;=Sitze_Ausschuss,IF(TabDH12[[#This Row],[R4]]+COUNTIF(TabDH12[[R1]:[R19]],TabDH12[[#This Row],[R4]])-1&lt;=Sitze_Ausschuss,"SITZ","PATT"),"")</f>
        <v>PATT</v>
      </c>
      <c r="EC8" s="45" t="str">
        <f>IF(TabDH12[[#This Row],[R5]]&lt;=Sitze_Ausschuss,IF(TabDH12[[#This Row],[R5]]+COUNTIF(TabDH12[[R1]:[R19]],TabDH12[[#This Row],[R5]])-1&lt;=Sitze_Ausschuss,"SITZ","PATT"),"")</f>
        <v/>
      </c>
      <c r="ED8" s="45" t="str">
        <f>IF(TabDH12[[#This Row],[R6]]&lt;=Sitze_Ausschuss,IF(TabDH12[[#This Row],[R6]]+COUNTIF(TabDH12[[R1]:[R19]],TabDH12[[#This Row],[R6]])-1&lt;=Sitze_Ausschuss,"SITZ","PATT"),"")</f>
        <v/>
      </c>
      <c r="EE8" s="45" t="str">
        <f>IF(TabDH12[[#This Row],[R7]]&lt;=Sitze_Ausschuss,IF(TabDH12[[#This Row],[R7]]+COUNTIF(TabDH12[[R1]:[R19]],TabDH12[[#This Row],[R7]])-1&lt;=Sitze_Ausschuss,"SITZ","PATT"),"")</f>
        <v/>
      </c>
      <c r="EF8" s="45" t="str">
        <f>IF(TabDH12[[#This Row],[R8]]&lt;=Sitze_Ausschuss,IF(TabDH12[[#This Row],[R8]]+COUNTIF(TabDH12[[R1]:[R19]],TabDH12[[#This Row],[R8]])-1&lt;=Sitze_Ausschuss,"SITZ","PATT"),"")</f>
        <v/>
      </c>
      <c r="EG8" s="45" t="str">
        <f>IF(TabDH12[[#This Row],[R9]]&lt;=Sitze_Ausschuss,IF(TabDH12[[#This Row],[R9]]+COUNTIF(TabDH12[[R1]:[R19]],TabDH12[[#This Row],[R9]])-1&lt;=Sitze_Ausschuss,"SITZ","PATT"),"")</f>
        <v/>
      </c>
      <c r="EH8" s="45" t="str">
        <f>IF(TabDH12[[#This Row],[R10]]&lt;=Sitze_Ausschuss,IF(TabDH12[[#This Row],[R10]]+COUNTIF(TabDH12[[R1]:[R19]],TabDH12[[#This Row],[R10]])-1&lt;=Sitze_Ausschuss,"SITZ","PATT"),"")</f>
        <v/>
      </c>
      <c r="EI8" s="45" t="str">
        <f>IF(TabDH12[[#This Row],[R11]]&lt;=Sitze_Ausschuss,IF(TabDH12[[#This Row],[R11]]+COUNTIF(TabDH12[[R1]:[R19]],TabDH12[[#This Row],[R11]])-1&lt;=Sitze_Ausschuss,"SITZ","PATT"),"")</f>
        <v/>
      </c>
      <c r="EJ8" s="45" t="str">
        <f>IF(TabDH12[[#This Row],[R12]]&lt;=Sitze_Ausschuss,IF(TabDH12[[#This Row],[R12]]+COUNTIF(TabDH12[[R1]:[R19]],TabDH12[[#This Row],[R12]])-1&lt;=Sitze_Ausschuss,"SITZ","PATT"),"")</f>
        <v/>
      </c>
      <c r="EK8" s="45" t="str">
        <f>IF(TabDH12[[#This Row],[R13]]&lt;=Sitze_Ausschuss,IF(TabDH12[[#This Row],[R13]]+COUNTIF(TabDH12[[R1]:[R19]],TabDH12[[#This Row],[R13]])-1&lt;=Sitze_Ausschuss,"SITZ","PATT"),"")</f>
        <v/>
      </c>
      <c r="EL8" s="45" t="str">
        <f>IF(TabDH12[[#This Row],[R14]]&lt;=Sitze_Ausschuss,IF(TabDH12[[#This Row],[R14]]+COUNTIF(TabDH12[[R1]:[R19]],TabDH12[[#This Row],[R14]])-1&lt;=Sitze_Ausschuss,"SITZ","PATT"),"")</f>
        <v/>
      </c>
      <c r="EM8" s="45" t="str">
        <f>IF(TabDH12[[#This Row],[R15]]&lt;=Sitze_Ausschuss,IF(TabDH12[[#This Row],[R15]]+COUNTIF(TabDH12[[R1]:[R19]],TabDH12[[#This Row],[R15]])-1&lt;=Sitze_Ausschuss,"SITZ","PATT"),"")</f>
        <v/>
      </c>
      <c r="EN8" s="45" t="str">
        <f>IF(TabDH12[[#This Row],[R16]]&lt;=Sitze_Ausschuss,IF(TabDH12[[#This Row],[R16]]+COUNTIF(TabDH12[[R1]:[R19]],TabDH12[[#This Row],[R16]])-1&lt;=Sitze_Ausschuss,"SITZ","PATT"),"")</f>
        <v/>
      </c>
      <c r="EO8" s="45" t="str">
        <f>IF(TabDH12[[#This Row],[R17]]&lt;=Sitze_Ausschuss,IF(TabDH12[[#This Row],[R17]]+COUNTIF(TabDH12[[R1]:[R19]],TabDH12[[#This Row],[R17]])-1&lt;=Sitze_Ausschuss,"SITZ","PATT"),"")</f>
        <v/>
      </c>
      <c r="EP8" s="45" t="str">
        <f>IF(TabDH12[[#This Row],[R18]]&lt;=Sitze_Ausschuss,IF(TabDH12[[#This Row],[R18]]+COUNTIF(TabDH12[[R1]:[R19]],TabDH12[[#This Row],[R18]])-1&lt;=Sitze_Ausschuss,"SITZ","PATT"),"")</f>
        <v/>
      </c>
      <c r="EQ8" s="45" t="str">
        <f>IF(TabDH12[[#This Row],[R19]]&lt;=Sitze_Ausschuss,IF(TabDH12[[#This Row],[R19]]+COUNTIF(TabDH12[[R1]:[R19]],TabDH12[[#This Row],[R19]])-1&lt;=Sitze_Ausschuss,"SITZ","PATT"),"")</f>
        <v/>
      </c>
      <c r="ER8" s="47" t="b">
        <f>COUNTIF(TabDH12[[#This Row],[SP1]:[SP19]],"PATT")&gt;0</f>
        <v>1</v>
      </c>
      <c r="ES8" s="33">
        <f>IF(TabDH12[[#This Row],[Patt]],(Sitze_Ausschuss-SUM(TabDH12[Sitze]))/TabDH12[[#Totals],[Patt]],0)</f>
        <v>0.5</v>
      </c>
      <c r="ET8" s="48">
        <f>TabDH12[[#This Row],[Patt]]*IF(Pattaufloesung="Stimmen",TabPatt11[[#This Row],[Stimmen]],0)*1</f>
        <v>0</v>
      </c>
      <c r="EU8" s="49" t="b">
        <f>_xlfn.RANK.EQ(TabDH12[[#This Row],[Stimmen/Gelost]],TabDH12[Stimmen/Gelost],0)&lt;=(Sitze_Ausschuss-SUM(TabDH12[Sitze]))</f>
        <v>1</v>
      </c>
      <c r="EV8" s="50" t="b">
        <f>OR(TabDH12[[#This Row],[Sitze]]&lt;ROUNDDOWN(Grunddaten7[[#This Row],[Proporzgenaue Zahl Ausschuss]],0),TabDH12[[#This Row],[Sitze]]+(TabDH12[[#This Row],[Patt]]*1)&gt;ROUNDUP(Grunddaten7[[#This Row],[Proporzgenaue Zahl Ausschuss]],0))</f>
        <v>0</v>
      </c>
      <c r="EW8" s="3"/>
      <c r="EX8" s="51" t="str">
        <f>Grunddaten7[[#This Row],[Partei/Wählergruppe]]&amp;""</f>
        <v>GRÜNE</v>
      </c>
      <c r="EY8" s="51">
        <f t="shared" si="6"/>
        <v>5432</v>
      </c>
      <c r="EZ8" s="3"/>
      <c r="FA8" s="3"/>
      <c r="FB8" s="3"/>
      <c r="FC8" s="3"/>
      <c r="FD8" s="3"/>
    </row>
    <row r="9" spans="1:166" x14ac:dyDescent="0.25">
      <c r="A9" s="3"/>
      <c r="B9" s="89" t="str">
        <f t="shared" si="0"/>
        <v>FREIE WÄHLER</v>
      </c>
      <c r="C9" s="91">
        <f t="shared" si="1"/>
        <v>10</v>
      </c>
      <c r="D9" s="168">
        <f>Grunddaten7[[#This Row],[Sitze im Hauptorgan]]/Grunddaten7[[#Totals],[Sitze im Hauptorgan]]*Sitze_Ausschuss</f>
        <v>2</v>
      </c>
      <c r="E9" s="159">
        <f>IF(ROUNDDOWN(Grunddaten7[[#This Row],[Proporzgenaue Zahl Ausschuss]],0)&lt;&gt;ROUNDUP(Grunddaten7[[#This Row],[Proporzgenaue Zahl Ausschuss]],0), ROUNDDOWN(Grunddaten7[[#This Row],[Proporzgenaue Zahl Ausschuss]],0)&amp;" oder "&amp;ROUNDUP(Grunddaten7[[#This Row],[Proporzgenaue Zahl Ausschuss]],0),ROUND(Grunddaten7[[#This Row],[Proporzgenaue Zahl Ausschuss]],0))</f>
        <v>2</v>
      </c>
      <c r="F9" s="52" t="str">
        <f t="shared" si="2"/>
        <v>OK</v>
      </c>
      <c r="G9" s="52" t="str">
        <f>IF(TabSLS10[[#This Row],[QK verletzt]],"NOK","OK")</f>
        <v>OK</v>
      </c>
      <c r="H9" s="53" t="str">
        <f>IF(TabDH12[[#This Row],[QK verletzt]],"NOK","OK")</f>
        <v>OK</v>
      </c>
      <c r="I9" s="163">
        <f t="shared" si="3"/>
        <v>2</v>
      </c>
      <c r="J9" s="163">
        <f t="shared" si="4"/>
        <v>2</v>
      </c>
      <c r="K9" s="163">
        <f t="shared" si="5"/>
        <v>2</v>
      </c>
      <c r="L9" s="3"/>
      <c r="M9" s="92">
        <f>TabHN9[[#This Row],[S ganz]]+IF(NOT(TabHN9[[#This Row],[Patt]]),TabHN9[[#This Row],[Restsitz]],0)</f>
        <v>2</v>
      </c>
      <c r="N9" s="162">
        <f>IF(TabHN9[[#This Row],[Patt]],IF(Pattaufloesung="Los-Chance",TabHN9[[#This Row],[Los Chance]],TabHN9[[#This Row],[Pattgewinn]]+0),0)</f>
        <v>0</v>
      </c>
      <c r="O9" s="30">
        <f>INT(Grunddaten7[[#This Row],[Proporzgenaue Zahl Ausschuss]])</f>
        <v>2</v>
      </c>
      <c r="P9" s="31">
        <f>ROUND(Grunddaten7[[#This Row],[Proporzgenaue Zahl Ausschuss]]-TabHN9[[#This Row],[S ganz]],4)</f>
        <v>0</v>
      </c>
      <c r="Q9" s="32">
        <f>_xlfn.RANK.EQ(TabHN9[[#This Row],[S Rest]],TabHN9[S Rest],0)</f>
        <v>5</v>
      </c>
      <c r="R9" s="30">
        <f>IF(TabHN9[[#This Row],[Rng Rest]]&lt;=TabHN9[[#Totals],[S Rest]],1,0)</f>
        <v>0</v>
      </c>
      <c r="S9" s="30" t="b">
        <f>AND(TabHN9[[#This Row],[Restsitz]]=1,(COUNTIF(TabHN9[Rng Rest],TabHN9[[#This Row],[Rng Rest]])+TabHN9[[#This Row],[Rng Rest]]-1)&gt;TabHN9[[#Totals],[S Rest]])</f>
        <v>0</v>
      </c>
      <c r="T9" s="33">
        <f>IF(TabHN9[[#This Row],[Patt]],(Sitze_Ausschuss-SUM(TabHN9[Sitze]))/TabHN9[[#Totals],[Patt]],0)</f>
        <v>0</v>
      </c>
      <c r="U9" s="34">
        <f>TabHN9[[#This Row],[Patt]]*IF(Pattaufloesung="Stimmen",TabPatt11[[#This Row],[Stimmen]],0)*1</f>
        <v>0</v>
      </c>
      <c r="V9" s="35" t="b">
        <f>_xlfn.RANK.EQ(TabHN9[[#This Row],[Stimmen/Gelost]],TabHN9[Stimmen/Gelost],0)&lt;=(Sitze_Ausschuss-SUM(TabHN9[Sitze]))</f>
        <v>0</v>
      </c>
      <c r="W9" s="3"/>
      <c r="X9" s="36">
        <f>COUNTIF(TabSLS10[[#This Row],[SP1]:[SP37]],"SITZ")</f>
        <v>2</v>
      </c>
      <c r="Y9" s="37">
        <f>IF(TabSLS10[[#This Row],[Patt?]],IF(Pattaufloesung="Los-Chance",TabSLS10[[#This Row],[Los Chance]],TabSLS10[[#This Row],[Pattgewinn]]+0),0)</f>
        <v>0</v>
      </c>
      <c r="Z9" s="38">
        <f>Grunddaten7[[#This Row],[Sitze im Hauptorgan]]/_xlfn.NUMBERVALUE(MID(INDEX(TabSLS10[[#Headers],[:1]:[:37]],COLUMN()-COLUMN(TabSLS10[[#Headers],[:1]])+1),2,3))</f>
        <v>10</v>
      </c>
      <c r="AA9" s="39">
        <f>Grunddaten7[[#This Row],[Sitze im Hauptorgan]]/_xlfn.NUMBERVALUE(MID(INDEX(TabSLS10[[#Headers],[:1]:[:37]],COLUMN()-COLUMN(TabSLS10[[#Headers],[:1]])+1),2,3))</f>
        <v>3.3333333333333335</v>
      </c>
      <c r="AB9" s="39">
        <f>Grunddaten7[[#This Row],[Sitze im Hauptorgan]]/_xlfn.NUMBERVALUE(MID(INDEX(TabSLS10[[#Headers],[:1]:[:37]],COLUMN()-COLUMN(TabSLS10[[#Headers],[:1]])+1),2,3))</f>
        <v>2</v>
      </c>
      <c r="AC9" s="39">
        <f>Grunddaten7[[#This Row],[Sitze im Hauptorgan]]/_xlfn.NUMBERVALUE(MID(INDEX(TabSLS10[[#Headers],[:1]:[:37]],COLUMN()-COLUMN(TabSLS10[[#Headers],[:1]])+1),2,3))</f>
        <v>1.4285714285714286</v>
      </c>
      <c r="AD9" s="39">
        <f>Grunddaten7[[#This Row],[Sitze im Hauptorgan]]/_xlfn.NUMBERVALUE(MID(INDEX(TabSLS10[[#Headers],[:1]:[:37]],COLUMN()-COLUMN(TabSLS10[[#Headers],[:1]])+1),2,3))</f>
        <v>1.1111111111111112</v>
      </c>
      <c r="AE9" s="39">
        <f>Grunddaten7[[#This Row],[Sitze im Hauptorgan]]/_xlfn.NUMBERVALUE(MID(INDEX(TabSLS10[[#Headers],[:1]:[:37]],COLUMN()-COLUMN(TabSLS10[[#Headers],[:1]])+1),2,3))</f>
        <v>0.90909090909090906</v>
      </c>
      <c r="AF9" s="39">
        <f>Grunddaten7[[#This Row],[Sitze im Hauptorgan]]/_xlfn.NUMBERVALUE(MID(INDEX(TabSLS10[[#Headers],[:1]:[:37]],COLUMN()-COLUMN(TabSLS10[[#Headers],[:1]])+1),2,3))</f>
        <v>0.76923076923076927</v>
      </c>
      <c r="AG9" s="39">
        <f>Grunddaten7[[#This Row],[Sitze im Hauptorgan]]/_xlfn.NUMBERVALUE(MID(INDEX(TabSLS10[[#Headers],[:1]:[:37]],COLUMN()-COLUMN(TabSLS10[[#Headers],[:1]])+1),2,3))</f>
        <v>0.66666666666666663</v>
      </c>
      <c r="AH9" s="39">
        <f>Grunddaten7[[#This Row],[Sitze im Hauptorgan]]/_xlfn.NUMBERVALUE(MID(INDEX(TabSLS10[[#Headers],[:1]:[:37]],COLUMN()-COLUMN(TabSLS10[[#Headers],[:1]])+1),2,3))</f>
        <v>0.58823529411764708</v>
      </c>
      <c r="AI9" s="39">
        <f>Grunddaten7[[#This Row],[Sitze im Hauptorgan]]/_xlfn.NUMBERVALUE(MID(INDEX(TabSLS10[[#Headers],[:1]:[:37]],COLUMN()-COLUMN(TabSLS10[[#Headers],[:1]])+1),2,3))</f>
        <v>0.52631578947368418</v>
      </c>
      <c r="AJ9" s="39">
        <f>Grunddaten7[[#This Row],[Sitze im Hauptorgan]]/_xlfn.NUMBERVALUE(MID(INDEX(TabSLS10[[#Headers],[:1]:[:37]],COLUMN()-COLUMN(TabSLS10[[#Headers],[:1]])+1),2,3))</f>
        <v>0.47619047619047616</v>
      </c>
      <c r="AK9" s="39">
        <f>Grunddaten7[[#This Row],[Sitze im Hauptorgan]]/_xlfn.NUMBERVALUE(MID(INDEX(TabSLS10[[#Headers],[:1]:[:37]],COLUMN()-COLUMN(TabSLS10[[#Headers],[:1]])+1),2,3))</f>
        <v>0.43478260869565216</v>
      </c>
      <c r="AL9" s="39">
        <f>Grunddaten7[[#This Row],[Sitze im Hauptorgan]]/_xlfn.NUMBERVALUE(MID(INDEX(TabSLS10[[#Headers],[:1]:[:37]],COLUMN()-COLUMN(TabSLS10[[#Headers],[:1]])+1),2,3))</f>
        <v>0.4</v>
      </c>
      <c r="AM9" s="39">
        <f>Grunddaten7[[#This Row],[Sitze im Hauptorgan]]/_xlfn.NUMBERVALUE(MID(INDEX(TabSLS10[[#Headers],[:1]:[:37]],COLUMN()-COLUMN(TabSLS10[[#Headers],[:1]])+1),2,3))</f>
        <v>0.37037037037037035</v>
      </c>
      <c r="AN9" s="39">
        <f>Grunddaten7[[#This Row],[Sitze im Hauptorgan]]/_xlfn.NUMBERVALUE(MID(INDEX(TabSLS10[[#Headers],[:1]:[:37]],COLUMN()-COLUMN(TabSLS10[[#Headers],[:1]])+1),2,3))</f>
        <v>0.34482758620689657</v>
      </c>
      <c r="AO9" s="39">
        <f>Grunddaten7[[#This Row],[Sitze im Hauptorgan]]/_xlfn.NUMBERVALUE(MID(INDEX(TabSLS10[[#Headers],[:1]:[:37]],COLUMN()-COLUMN(TabSLS10[[#Headers],[:1]])+1),2,3))</f>
        <v>0.32258064516129031</v>
      </c>
      <c r="AP9" s="39">
        <f>Grunddaten7[[#This Row],[Sitze im Hauptorgan]]/_xlfn.NUMBERVALUE(MID(INDEX(TabSLS10[[#Headers],[:1]:[:37]],COLUMN()-COLUMN(TabSLS10[[#Headers],[:1]])+1),2,3))</f>
        <v>0.30303030303030304</v>
      </c>
      <c r="AQ9" s="39">
        <f>Grunddaten7[[#This Row],[Sitze im Hauptorgan]]/_xlfn.NUMBERVALUE(MID(INDEX(TabSLS10[[#Headers],[:1]:[:37]],COLUMN()-COLUMN(TabSLS10[[#Headers],[:1]])+1),2,3))</f>
        <v>0.2857142857142857</v>
      </c>
      <c r="AR9" s="40">
        <f>Grunddaten7[[#This Row],[Sitze im Hauptorgan]]/_xlfn.NUMBERVALUE(MID(INDEX(TabSLS10[[#Headers],[:1]:[:37]],COLUMN()-COLUMN(TabSLS10[[#Headers],[:1]])+1),2,3))</f>
        <v>0.27027027027027029</v>
      </c>
      <c r="AS9" s="41">
        <f>_xlfn.RANK.EQ(TabSLS10[[#This Row],[:1]],TabSLS10[[:1]:[:37]],0)</f>
        <v>3</v>
      </c>
      <c r="AT9" s="42">
        <f>_xlfn.RANK.EQ(TabSLS10[[#This Row],[:3]],TabSLS10[[:1]:[:37]],0)</f>
        <v>11</v>
      </c>
      <c r="AU9" s="42">
        <f>_xlfn.RANK.EQ(TabSLS10[[#This Row],[:5]],TabSLS10[[:1]:[:37]],0)</f>
        <v>18</v>
      </c>
      <c r="AV9" s="42">
        <f>_xlfn.RANK.EQ(TabSLS10[[#This Row],[:7]],TabSLS10[[:1]:[:37]],0)</f>
        <v>25</v>
      </c>
      <c r="AW9" s="42">
        <f>_xlfn.RANK.EQ(TabSLS10[[#This Row],[:9]],TabSLS10[[:1]:[:37]],0)</f>
        <v>32</v>
      </c>
      <c r="AX9" s="42">
        <f>_xlfn.RANK.EQ(TabSLS10[[#This Row],[:11]],TabSLS10[[:1]:[:37]],0)</f>
        <v>39</v>
      </c>
      <c r="AY9" s="42">
        <f>_xlfn.RANK.EQ(TabSLS10[[#This Row],[:13]],TabSLS10[[:1]:[:37]],0)</f>
        <v>46</v>
      </c>
      <c r="AZ9" s="42">
        <f>_xlfn.RANK.EQ(TabSLS10[[#This Row],[:15]],TabSLS10[[:1]:[:37]],0)</f>
        <v>53</v>
      </c>
      <c r="BA9" s="42">
        <f>_xlfn.RANK.EQ(TabSLS10[[#This Row],[:17]],TabSLS10[[:1]:[:37]],0)</f>
        <v>60</v>
      </c>
      <c r="BB9" s="42">
        <f>_xlfn.RANK.EQ(TabSLS10[[#This Row],[:19]],TabSLS10[[:1]:[:37]],0)</f>
        <v>68</v>
      </c>
      <c r="BC9" s="42">
        <f>_xlfn.RANK.EQ(TabSLS10[[#This Row],[:21]],TabSLS10[[:1]:[:37]],0)</f>
        <v>71</v>
      </c>
      <c r="BD9" s="42">
        <f>_xlfn.RANK.EQ(TabSLS10[[#This Row],[:23]],TabSLS10[[:1]:[:37]],0)</f>
        <v>77</v>
      </c>
      <c r="BE9" s="42">
        <f>_xlfn.RANK.EQ(TabSLS10[[#This Row],[:25]],TabSLS10[[:1]:[:37]],0)</f>
        <v>81</v>
      </c>
      <c r="BF9" s="42">
        <f>_xlfn.RANK.EQ(TabSLS10[[#This Row],[:27]],TabSLS10[[:1]:[:37]],0)</f>
        <v>84</v>
      </c>
      <c r="BG9" s="42">
        <f>_xlfn.RANK.EQ(TabSLS10[[#This Row],[:29]],TabSLS10[[:1]:[:37]],0)</f>
        <v>88</v>
      </c>
      <c r="BH9" s="42">
        <f>_xlfn.RANK.EQ(TabSLS10[[#This Row],[:31]],TabSLS10[[:1]:[:37]],0)</f>
        <v>91</v>
      </c>
      <c r="BI9" s="42">
        <f>_xlfn.RANK.EQ(TabSLS10[[#This Row],[:33]],TabSLS10[[:1]:[:37]],0)</f>
        <v>95</v>
      </c>
      <c r="BJ9" s="42">
        <f>_xlfn.RANK.EQ(TabSLS10[[#This Row],[:35]],TabSLS10[[:1]:[:37]],0)</f>
        <v>98</v>
      </c>
      <c r="BK9" s="43">
        <f>_xlfn.RANK.EQ(TabSLS10[[#This Row],[:37]],TabSLS10[[:1]:[:37]],0)</f>
        <v>101</v>
      </c>
      <c r="BL9" s="44" t="str">
        <f>IF(TabSLS10[[#This Row],[R1]]&lt;=Sitze_Ausschuss,IF(TabSLS10[[#This Row],[R1]]+COUNTIF(TabSLS10[[R1]:[R37]],TabSLS10[[#This Row],[R1]])-1&lt;=Sitze_Ausschuss,"SITZ","PATT"),"")</f>
        <v>SITZ</v>
      </c>
      <c r="BM9" s="45" t="str">
        <f>IF(TabSLS10[[#This Row],[R3]]&lt;=Sitze_Ausschuss,IF(TabSLS10[[#This Row],[R3]]+COUNTIF(TabSLS10[[R1]:[R37]],TabSLS10[[#This Row],[R3]])-1&lt;=Sitze_Ausschuss,"SITZ","PATT"),"")</f>
        <v>SITZ</v>
      </c>
      <c r="BN9" s="45" t="str">
        <f>IF(TabSLS10[[#This Row],[R5]]&lt;=Sitze_Ausschuss,IF(TabSLS10[[#This Row],[R5]]+COUNTIF(TabSLS10[[R1]:[R37]],TabSLS10[[#This Row],[R5]])-1&lt;=Sitze_Ausschuss,"SITZ","PATT"),"")</f>
        <v/>
      </c>
      <c r="BO9" s="45" t="str">
        <f>IF(TabSLS10[[#This Row],[R7]]&lt;=Sitze_Ausschuss,IF(TabSLS10[[#This Row],[R7]]+COUNTIF(TabSLS10[[R1]:[R37]],TabSLS10[[#This Row],[R7]])-1&lt;=Sitze_Ausschuss,"SITZ","PATT"),"")</f>
        <v/>
      </c>
      <c r="BP9" s="45" t="str">
        <f>IF(TabSLS10[[#This Row],[R9]]&lt;=Sitze_Ausschuss,IF(TabSLS10[[#This Row],[R9]]+COUNTIF(TabSLS10[[R1]:[R37]],TabSLS10[[#This Row],[R9]])-1&lt;=Sitze_Ausschuss,"SITZ","PATT"),"")</f>
        <v/>
      </c>
      <c r="BQ9" s="45" t="str">
        <f>IF(TabSLS10[[#This Row],[R11]]&lt;=Sitze_Ausschuss,IF(TabSLS10[[#This Row],[R11]]+COUNTIF(TabSLS10[[R1]:[R37]],TabSLS10[[#This Row],[R11]])-1&lt;=Sitze_Ausschuss,"SITZ","PATT"),"")</f>
        <v/>
      </c>
      <c r="BR9" s="45" t="str">
        <f>IF(TabSLS10[[#This Row],[R13]]&lt;=Sitze_Ausschuss,IF(TabSLS10[[#This Row],[R13]]+COUNTIF(TabSLS10[[R1]:[R37]],TabSLS10[[#This Row],[R13]])-1&lt;=Sitze_Ausschuss,"SITZ","PATT"),"")</f>
        <v/>
      </c>
      <c r="BS9" s="45" t="str">
        <f>IF(TabSLS10[[#This Row],[R15]]&lt;=Sitze_Ausschuss,IF(TabSLS10[[#This Row],[R15]]+COUNTIF(TabSLS10[[R1]:[R37]],TabSLS10[[#This Row],[R15]])-1&lt;=Sitze_Ausschuss,"SITZ","PATT"),"")</f>
        <v/>
      </c>
      <c r="BT9" s="45" t="str">
        <f>IF(TabSLS10[[#This Row],[R17]]&lt;=Sitze_Ausschuss,IF(TabSLS10[[#This Row],[R17]]+COUNTIF(TabSLS10[[R1]:[R37]],TabSLS10[[#This Row],[R17]])-1&lt;=Sitze_Ausschuss,"SITZ","PATT"),"")</f>
        <v/>
      </c>
      <c r="BU9" s="45" t="str">
        <f>IF(TabSLS10[[#This Row],[R19]]&lt;=Sitze_Ausschuss,IF(TabSLS10[[#This Row],[R19]]+COUNTIF(TabSLS10[[R1]:[R37]],TabSLS10[[#This Row],[R19]])-1&lt;=Sitze_Ausschuss,"SITZ","PATT"),"")</f>
        <v/>
      </c>
      <c r="BV9" s="45" t="str">
        <f>IF(TabSLS10[[#This Row],[R21]]&lt;=Sitze_Ausschuss,IF(TabSLS10[[#This Row],[R21]]+COUNTIF(TabSLS10[[R1]:[R37]],TabSLS10[[#This Row],[R21]])-1&lt;=Sitze_Ausschuss,"SITZ","PATT"),"")</f>
        <v/>
      </c>
      <c r="BW9" s="45" t="str">
        <f>IF(TabSLS10[[#This Row],[R23]]&lt;=Sitze_Ausschuss,IF(TabSLS10[[#This Row],[R23]]+COUNTIF(TabSLS10[[R1]:[R37]],TabSLS10[[#This Row],[R23]])-1&lt;=Sitze_Ausschuss,"SITZ","PATT"),"")</f>
        <v/>
      </c>
      <c r="BX9" s="45" t="str">
        <f>IF(TabSLS10[[#This Row],[R25]]&lt;=Sitze_Ausschuss,IF(TabSLS10[[#This Row],[R25]]+COUNTIF(TabSLS10[[R1]:[R37]],TabSLS10[[#This Row],[R25]])-1&lt;=Sitze_Ausschuss,"SITZ","PATT"),"")</f>
        <v/>
      </c>
      <c r="BY9" s="45" t="str">
        <f>IF(TabSLS10[[#This Row],[R27]]&lt;=Sitze_Ausschuss,IF(TabSLS10[[#This Row],[R27]]+COUNTIF(TabSLS10[[R1]:[R37]],TabSLS10[[#This Row],[R27]])-1&lt;=Sitze_Ausschuss,"SITZ","PATT"),"")</f>
        <v/>
      </c>
      <c r="BZ9" s="45" t="str">
        <f>IF(TabSLS10[[#This Row],[R29]]&lt;=Sitze_Ausschuss,IF(TabSLS10[[#This Row],[R29]]+COUNTIF(TabSLS10[[R1]:[R37]],TabSLS10[[#This Row],[R29]])-1&lt;=Sitze_Ausschuss,"SITZ","PATT"),"")</f>
        <v/>
      </c>
      <c r="CA9" s="45" t="str">
        <f>IF(TabSLS10[[#This Row],[R31]]&lt;=Sitze_Ausschuss,IF(TabSLS10[[#This Row],[R31]]+COUNTIF(TabSLS10[[R1]:[R37]],TabSLS10[[#This Row],[R31]])-1&lt;=Sitze_Ausschuss,"SITZ","PATT"),"")</f>
        <v/>
      </c>
      <c r="CB9" s="45" t="str">
        <f>IF(TabSLS10[[#This Row],[R33]]&lt;=Sitze_Ausschuss,IF(TabSLS10[[#This Row],[R33]]+COUNTIF(TabSLS10[[R1]:[R37]],TabSLS10[[#This Row],[R33]])-1&lt;=Sitze_Ausschuss,"SITZ","PATT"),"")</f>
        <v/>
      </c>
      <c r="CC9" s="45" t="str">
        <f>IF(TabSLS10[[#This Row],[R35]]&lt;=Sitze_Ausschuss,IF(TabSLS10[[#This Row],[R35]]+COUNTIF(TabSLS10[[R1]:[R37]],TabSLS10[[#This Row],[R35]])-1&lt;=Sitze_Ausschuss,"SITZ","PATT"),"")</f>
        <v/>
      </c>
      <c r="CD9" s="46" t="str">
        <f>IF(TabSLS10[[#This Row],[R37]]&lt;=Sitze_Ausschuss,IF(TabSLS10[[#This Row],[R37]]+COUNTIF(TabSLS10[[R1]:[R37]],TabSLS10[[#This Row],[R37]])-1&lt;=Sitze_Ausschuss,"SITZ","PATT"),"")</f>
        <v/>
      </c>
      <c r="CE9" s="47" t="b">
        <f>COUNTIF(TabSLS10[[#This Row],[SP1]:[SP37]],"PATT")&gt;0</f>
        <v>0</v>
      </c>
      <c r="CF9" s="33">
        <f>IF(TabSLS10[[#This Row],[Patt?]],(Sitze_Ausschuss-SUM(TabSLS10[Sitze]))/TabSLS10[[#Totals],[Patt?]],0)</f>
        <v>0</v>
      </c>
      <c r="CG9" s="48">
        <f>TabSLS10[[#This Row],[Patt?]]*IF(Pattaufloesung="Stimmen",TabPatt11[[#This Row],[Stimmen]],0)*1</f>
        <v>0</v>
      </c>
      <c r="CH9" s="49" t="b">
        <f>_xlfn.RANK.EQ(TabSLS10[[#This Row],[Stimmen Gelost]],TabSLS10[Stimmen Gelost],0)&lt;=(Sitze_Ausschuss-SUM(TabSLS10[Sitze]))</f>
        <v>0</v>
      </c>
      <c r="CI9" s="50" t="b">
        <f>OR(TabSLS10[[#This Row],[Sitze]]&lt;ROUNDDOWN(Grunddaten7[[#This Row],[Proporzgenaue Zahl Ausschuss]],0),TabSLS10[[#This Row],[Sitze]]+(TabSLS10[[#This Row],[Patt?]]*1)&gt;ROUNDUP(Grunddaten7[[#This Row],[Proporzgenaue Zahl Ausschuss]],0))</f>
        <v>0</v>
      </c>
      <c r="CJ9" s="3"/>
      <c r="CK9" s="36">
        <f>COUNTIF(TabDH12[[#This Row],[SP1]:[SP19]],"SITZ")</f>
        <v>2</v>
      </c>
      <c r="CL9" s="37">
        <f>IF(TabDH12[[#This Row],[Patt]],IF(Pattaufloesung="Los-Chance",TabDH12[[#This Row],[Los Chance]],TabDH12[[#This Row],[Pattgewinn]]+0),0)</f>
        <v>0</v>
      </c>
      <c r="CM9" s="38">
        <f>Grunddaten7[[#This Row],[Sitze im Hauptorgan]]/_xlfn.NUMBERVALUE(MID(INDEX(TabDH12[[#Headers],[:1]:[:19]],COLUMN()-COLUMN(TabDH12[[#Headers],[:1]])+1),2,3))</f>
        <v>10</v>
      </c>
      <c r="CN9" s="39">
        <f>Grunddaten7[[#This Row],[Sitze im Hauptorgan]]/_xlfn.NUMBERVALUE(MID(INDEX(TabDH12[[#Headers],[:1]:[:19]],COLUMN()-COLUMN(TabDH12[[#Headers],[:1]])+1),2,3))</f>
        <v>5</v>
      </c>
      <c r="CO9" s="39">
        <f>Grunddaten7[[#This Row],[Sitze im Hauptorgan]]/_xlfn.NUMBERVALUE(MID(INDEX(TabDH12[[#Headers],[:1]:[:19]],COLUMN()-COLUMN(TabDH12[[#Headers],[:1]])+1),2,3))</f>
        <v>3.3333333333333335</v>
      </c>
      <c r="CP9" s="39">
        <f>Grunddaten7[[#This Row],[Sitze im Hauptorgan]]/_xlfn.NUMBERVALUE(MID(INDEX(TabDH12[[#Headers],[:1]:[:19]],COLUMN()-COLUMN(TabDH12[[#Headers],[:1]])+1),2,3))</f>
        <v>2.5</v>
      </c>
      <c r="CQ9" s="39">
        <f>Grunddaten7[[#This Row],[Sitze im Hauptorgan]]/_xlfn.NUMBERVALUE(MID(INDEX(TabDH12[[#Headers],[:1]:[:19]],COLUMN()-COLUMN(TabDH12[[#Headers],[:1]])+1),2,3))</f>
        <v>2</v>
      </c>
      <c r="CR9" s="39">
        <f>Grunddaten7[[#This Row],[Sitze im Hauptorgan]]/_xlfn.NUMBERVALUE(MID(INDEX(TabDH12[[#Headers],[:1]:[:19]],COLUMN()-COLUMN(TabDH12[[#Headers],[:1]])+1),2,3))</f>
        <v>1.6666666666666667</v>
      </c>
      <c r="CS9" s="39">
        <f>Grunddaten7[[#This Row],[Sitze im Hauptorgan]]/_xlfn.NUMBERVALUE(MID(INDEX(TabDH12[[#Headers],[:1]:[:19]],COLUMN()-COLUMN(TabDH12[[#Headers],[:1]])+1),2,3))</f>
        <v>1.4285714285714286</v>
      </c>
      <c r="CT9" s="39">
        <f>Grunddaten7[[#This Row],[Sitze im Hauptorgan]]/_xlfn.NUMBERVALUE(MID(INDEX(TabDH12[[#Headers],[:1]:[:19]],COLUMN()-COLUMN(TabDH12[[#Headers],[:1]])+1),2,3))</f>
        <v>1.25</v>
      </c>
      <c r="CU9" s="39">
        <f>Grunddaten7[[#This Row],[Sitze im Hauptorgan]]/_xlfn.NUMBERVALUE(MID(INDEX(TabDH12[[#Headers],[:1]:[:19]],COLUMN()-COLUMN(TabDH12[[#Headers],[:1]])+1),2,3))</f>
        <v>1.1111111111111112</v>
      </c>
      <c r="CV9" s="39">
        <f>Grunddaten7[[#This Row],[Sitze im Hauptorgan]]/_xlfn.NUMBERVALUE(MID(INDEX(TabDH12[[#Headers],[:1]:[:19]],COLUMN()-COLUMN(TabDH12[[#Headers],[:1]])+1),2,3))</f>
        <v>1</v>
      </c>
      <c r="CW9" s="39">
        <f>Grunddaten7[[#This Row],[Sitze im Hauptorgan]]/_xlfn.NUMBERVALUE(MID(INDEX(TabDH12[[#Headers],[:1]:[:19]],COLUMN()-COLUMN(TabDH12[[#Headers],[:1]])+1),2,3))</f>
        <v>0.90909090909090906</v>
      </c>
      <c r="CX9" s="39">
        <f>Grunddaten7[[#This Row],[Sitze im Hauptorgan]]/_xlfn.NUMBERVALUE(MID(INDEX(TabDH12[[#Headers],[:1]:[:19]],COLUMN()-COLUMN(TabDH12[[#Headers],[:1]])+1),2,3))</f>
        <v>0.83333333333333337</v>
      </c>
      <c r="CY9" s="39">
        <f>Grunddaten7[[#This Row],[Sitze im Hauptorgan]]/_xlfn.NUMBERVALUE(MID(INDEX(TabDH12[[#Headers],[:1]:[:19]],COLUMN()-COLUMN(TabDH12[[#Headers],[:1]])+1),2,3))</f>
        <v>0.76923076923076927</v>
      </c>
      <c r="CZ9" s="39">
        <f>Grunddaten7[[#This Row],[Sitze im Hauptorgan]]/_xlfn.NUMBERVALUE(MID(INDEX(TabDH12[[#Headers],[:1]:[:19]],COLUMN()-COLUMN(TabDH12[[#Headers],[:1]])+1),2,3))</f>
        <v>0.7142857142857143</v>
      </c>
      <c r="DA9" s="39">
        <f>Grunddaten7[[#This Row],[Sitze im Hauptorgan]]/_xlfn.NUMBERVALUE(MID(INDEX(TabDH12[[#Headers],[:1]:[:19]],COLUMN()-COLUMN(TabDH12[[#Headers],[:1]])+1),2,3))</f>
        <v>0.66666666666666663</v>
      </c>
      <c r="DB9" s="39">
        <f>Grunddaten7[[#This Row],[Sitze im Hauptorgan]]/_xlfn.NUMBERVALUE(MID(INDEX(TabDH12[[#Headers],[:1]:[:19]],COLUMN()-COLUMN(TabDH12[[#Headers],[:1]])+1),2,3))</f>
        <v>0.625</v>
      </c>
      <c r="DC9" s="39">
        <f>Grunddaten7[[#This Row],[Sitze im Hauptorgan]]/_xlfn.NUMBERVALUE(MID(INDEX(TabDH12[[#Headers],[:1]:[:19]],COLUMN()-COLUMN(TabDH12[[#Headers],[:1]])+1),2,3))</f>
        <v>0.58823529411764708</v>
      </c>
      <c r="DD9" s="39">
        <f>Grunddaten7[[#This Row],[Sitze im Hauptorgan]]/_xlfn.NUMBERVALUE(MID(INDEX(TabDH12[[#Headers],[:1]:[:19]],COLUMN()-COLUMN(TabDH12[[#Headers],[:1]])+1),2,3))</f>
        <v>0.55555555555555558</v>
      </c>
      <c r="DE9" s="40">
        <f>Grunddaten7[[#This Row],[Sitze im Hauptorgan]]/_xlfn.NUMBERVALUE(MID(INDEX(TabDH12[[#Headers],[:1]:[:19]],COLUMN()-COLUMN(TabDH12[[#Headers],[:1]])+1),2,3))</f>
        <v>0.52631578947368418</v>
      </c>
      <c r="DF9" s="41">
        <f>_xlfn.RANK.EQ(TabDH12[[#This Row],[:1]],TabDH12[[:1]:[:19]],0)</f>
        <v>3</v>
      </c>
      <c r="DG9" s="42">
        <f>_xlfn.RANK.EQ(TabDH12[[#This Row],[:2]],TabDH12[[:1]:[:19]],0)</f>
        <v>10</v>
      </c>
      <c r="DH9" s="42">
        <f>_xlfn.RANK.EQ(TabDH12[[#This Row],[:3]],TabDH12[[:1]:[:19]],0)</f>
        <v>18</v>
      </c>
      <c r="DI9" s="42">
        <f>_xlfn.RANK.EQ(TabDH12[[#This Row],[:4]],TabDH12[[:1]:[:19]],0)</f>
        <v>24</v>
      </c>
      <c r="DJ9" s="42">
        <f>_xlfn.RANK.EQ(TabDH12[[#This Row],[:5]],TabDH12[[:1]:[:19]],0)</f>
        <v>30</v>
      </c>
      <c r="DK9" s="42">
        <f>_xlfn.RANK.EQ(TabDH12[[#This Row],[:6]],TabDH12[[:1]:[:19]],0)</f>
        <v>38</v>
      </c>
      <c r="DL9" s="42">
        <f>_xlfn.RANK.EQ(TabDH12[[#This Row],[:7]],TabDH12[[:1]:[:19]],0)</f>
        <v>45</v>
      </c>
      <c r="DM9" s="42">
        <f>_xlfn.RANK.EQ(TabDH12[[#This Row],[:8]],TabDH12[[:1]:[:19]],0)</f>
        <v>52</v>
      </c>
      <c r="DN9" s="42">
        <f>_xlfn.RANK.EQ(TabDH12[[#This Row],[:9]],TabDH12[[:1]:[:19]],0)</f>
        <v>60</v>
      </c>
      <c r="DO9" s="42">
        <f>_xlfn.RANK.EQ(TabDH12[[#This Row],[:10]],TabDH12[[:1]:[:19]],0)</f>
        <v>64</v>
      </c>
      <c r="DP9" s="42">
        <f>_xlfn.RANK.EQ(TabDH12[[#This Row],[:11]],TabDH12[[:1]:[:19]],0)</f>
        <v>71</v>
      </c>
      <c r="DQ9" s="42">
        <f>_xlfn.RANK.EQ(TabDH12[[#This Row],[:12]],TabDH12[[:1]:[:19]],0)</f>
        <v>76</v>
      </c>
      <c r="DR9" s="42">
        <f>_xlfn.RANK.EQ(TabDH12[[#This Row],[:13]],TabDH12[[:1]:[:19]],0)</f>
        <v>81</v>
      </c>
      <c r="DS9" s="42">
        <f>_xlfn.RANK.EQ(TabDH12[[#This Row],[:14]],TabDH12[[:1]:[:19]],0)</f>
        <v>83</v>
      </c>
      <c r="DT9" s="42">
        <f>_xlfn.RANK.EQ(TabDH12[[#This Row],[:15]],TabDH12[[:1]:[:19]],0)</f>
        <v>86</v>
      </c>
      <c r="DU9" s="42">
        <f>_xlfn.RANK.EQ(TabDH12[[#This Row],[:16]],TabDH12[[:1]:[:19]],0)</f>
        <v>90</v>
      </c>
      <c r="DV9" s="42">
        <f>_xlfn.RANK.EQ(TabDH12[[#This Row],[:17]],TabDH12[[:1]:[:19]],0)</f>
        <v>93</v>
      </c>
      <c r="DW9" s="42">
        <f>_xlfn.RANK.EQ(TabDH12[[#This Row],[:18]],TabDH12[[:1]:[:19]],0)</f>
        <v>97</v>
      </c>
      <c r="DX9" s="43">
        <f>_xlfn.RANK.EQ(TabDH12[[#This Row],[:19]],TabDH12[[:1]:[:19]],0)</f>
        <v>101</v>
      </c>
      <c r="DY9" s="44" t="str">
        <f>IF(TabDH12[[#This Row],[R1]]&lt;=Sitze_Ausschuss,IF(TabDH12[[#This Row],[R1]]+COUNTIF(TabDH12[[R1]:[R19]],TabDH12[[#This Row],[R1]])-1&lt;=Sitze_Ausschuss,"SITZ","PATT"),"")</f>
        <v>SITZ</v>
      </c>
      <c r="DZ9" s="45" t="str">
        <f>IF(TabDH12[[#This Row],[R2]]&lt;=Sitze_Ausschuss,IF(TabDH12[[#This Row],[R2]]+COUNTIF(TabDH12[[R1]:[R19]],TabDH12[[#This Row],[R2]])-1&lt;=Sitze_Ausschuss,"SITZ","PATT"),"")</f>
        <v>SITZ</v>
      </c>
      <c r="EA9" s="45" t="str">
        <f>IF(TabDH12[[#This Row],[R3]]&lt;=Sitze_Ausschuss,IF(TabDH12[[#This Row],[R3]]+COUNTIF(TabDH12[[R1]:[R19]],TabDH12[[#This Row],[R3]])-1&lt;=Sitze_Ausschuss,"SITZ","PATT"),"")</f>
        <v/>
      </c>
      <c r="EB9" s="45" t="str">
        <f>IF(TabDH12[[#This Row],[R4]]&lt;=Sitze_Ausschuss,IF(TabDH12[[#This Row],[R4]]+COUNTIF(TabDH12[[R1]:[R19]],TabDH12[[#This Row],[R4]])-1&lt;=Sitze_Ausschuss,"SITZ","PATT"),"")</f>
        <v/>
      </c>
      <c r="EC9" s="45" t="str">
        <f>IF(TabDH12[[#This Row],[R5]]&lt;=Sitze_Ausschuss,IF(TabDH12[[#This Row],[R5]]+COUNTIF(TabDH12[[R1]:[R19]],TabDH12[[#This Row],[R5]])-1&lt;=Sitze_Ausschuss,"SITZ","PATT"),"")</f>
        <v/>
      </c>
      <c r="ED9" s="45" t="str">
        <f>IF(TabDH12[[#This Row],[R6]]&lt;=Sitze_Ausschuss,IF(TabDH12[[#This Row],[R6]]+COUNTIF(TabDH12[[R1]:[R19]],TabDH12[[#This Row],[R6]])-1&lt;=Sitze_Ausschuss,"SITZ","PATT"),"")</f>
        <v/>
      </c>
      <c r="EE9" s="45" t="str">
        <f>IF(TabDH12[[#This Row],[R7]]&lt;=Sitze_Ausschuss,IF(TabDH12[[#This Row],[R7]]+COUNTIF(TabDH12[[R1]:[R19]],TabDH12[[#This Row],[R7]])-1&lt;=Sitze_Ausschuss,"SITZ","PATT"),"")</f>
        <v/>
      </c>
      <c r="EF9" s="45" t="str">
        <f>IF(TabDH12[[#This Row],[R8]]&lt;=Sitze_Ausschuss,IF(TabDH12[[#This Row],[R8]]+COUNTIF(TabDH12[[R1]:[R19]],TabDH12[[#This Row],[R8]])-1&lt;=Sitze_Ausschuss,"SITZ","PATT"),"")</f>
        <v/>
      </c>
      <c r="EG9" s="45" t="str">
        <f>IF(TabDH12[[#This Row],[R9]]&lt;=Sitze_Ausschuss,IF(TabDH12[[#This Row],[R9]]+COUNTIF(TabDH12[[R1]:[R19]],TabDH12[[#This Row],[R9]])-1&lt;=Sitze_Ausschuss,"SITZ","PATT"),"")</f>
        <v/>
      </c>
      <c r="EH9" s="45" t="str">
        <f>IF(TabDH12[[#This Row],[R10]]&lt;=Sitze_Ausschuss,IF(TabDH12[[#This Row],[R10]]+COUNTIF(TabDH12[[R1]:[R19]],TabDH12[[#This Row],[R10]])-1&lt;=Sitze_Ausschuss,"SITZ","PATT"),"")</f>
        <v/>
      </c>
      <c r="EI9" s="45" t="str">
        <f>IF(TabDH12[[#This Row],[R11]]&lt;=Sitze_Ausschuss,IF(TabDH12[[#This Row],[R11]]+COUNTIF(TabDH12[[R1]:[R19]],TabDH12[[#This Row],[R11]])-1&lt;=Sitze_Ausschuss,"SITZ","PATT"),"")</f>
        <v/>
      </c>
      <c r="EJ9" s="45" t="str">
        <f>IF(TabDH12[[#This Row],[R12]]&lt;=Sitze_Ausschuss,IF(TabDH12[[#This Row],[R12]]+COUNTIF(TabDH12[[R1]:[R19]],TabDH12[[#This Row],[R12]])-1&lt;=Sitze_Ausschuss,"SITZ","PATT"),"")</f>
        <v/>
      </c>
      <c r="EK9" s="45" t="str">
        <f>IF(TabDH12[[#This Row],[R13]]&lt;=Sitze_Ausschuss,IF(TabDH12[[#This Row],[R13]]+COUNTIF(TabDH12[[R1]:[R19]],TabDH12[[#This Row],[R13]])-1&lt;=Sitze_Ausschuss,"SITZ","PATT"),"")</f>
        <v/>
      </c>
      <c r="EL9" s="45" t="str">
        <f>IF(TabDH12[[#This Row],[R14]]&lt;=Sitze_Ausschuss,IF(TabDH12[[#This Row],[R14]]+COUNTIF(TabDH12[[R1]:[R19]],TabDH12[[#This Row],[R14]])-1&lt;=Sitze_Ausschuss,"SITZ","PATT"),"")</f>
        <v/>
      </c>
      <c r="EM9" s="45" t="str">
        <f>IF(TabDH12[[#This Row],[R15]]&lt;=Sitze_Ausschuss,IF(TabDH12[[#This Row],[R15]]+COUNTIF(TabDH12[[R1]:[R19]],TabDH12[[#This Row],[R15]])-1&lt;=Sitze_Ausschuss,"SITZ","PATT"),"")</f>
        <v/>
      </c>
      <c r="EN9" s="45" t="str">
        <f>IF(TabDH12[[#This Row],[R16]]&lt;=Sitze_Ausschuss,IF(TabDH12[[#This Row],[R16]]+COUNTIF(TabDH12[[R1]:[R19]],TabDH12[[#This Row],[R16]])-1&lt;=Sitze_Ausschuss,"SITZ","PATT"),"")</f>
        <v/>
      </c>
      <c r="EO9" s="45" t="str">
        <f>IF(TabDH12[[#This Row],[R17]]&lt;=Sitze_Ausschuss,IF(TabDH12[[#This Row],[R17]]+COUNTIF(TabDH12[[R1]:[R19]],TabDH12[[#This Row],[R17]])-1&lt;=Sitze_Ausschuss,"SITZ","PATT"),"")</f>
        <v/>
      </c>
      <c r="EP9" s="45" t="str">
        <f>IF(TabDH12[[#This Row],[R18]]&lt;=Sitze_Ausschuss,IF(TabDH12[[#This Row],[R18]]+COUNTIF(TabDH12[[R1]:[R19]],TabDH12[[#This Row],[R18]])-1&lt;=Sitze_Ausschuss,"SITZ","PATT"),"")</f>
        <v/>
      </c>
      <c r="EQ9" s="45" t="str">
        <f>IF(TabDH12[[#This Row],[R19]]&lt;=Sitze_Ausschuss,IF(TabDH12[[#This Row],[R19]]+COUNTIF(TabDH12[[R1]:[R19]],TabDH12[[#This Row],[R19]])-1&lt;=Sitze_Ausschuss,"SITZ","PATT"),"")</f>
        <v/>
      </c>
      <c r="ER9" s="47" t="b">
        <f>COUNTIF(TabDH12[[#This Row],[SP1]:[SP19]],"PATT")&gt;0</f>
        <v>0</v>
      </c>
      <c r="ES9" s="33">
        <f>IF(TabDH12[[#This Row],[Patt]],(Sitze_Ausschuss-SUM(TabDH12[Sitze]))/TabDH12[[#Totals],[Patt]],0)</f>
        <v>0</v>
      </c>
      <c r="ET9" s="48">
        <f>TabDH12[[#This Row],[Patt]]*IF(Pattaufloesung="Stimmen",TabPatt11[[#This Row],[Stimmen]],0)*1</f>
        <v>0</v>
      </c>
      <c r="EU9" s="49" t="b">
        <f>_xlfn.RANK.EQ(TabDH12[[#This Row],[Stimmen/Gelost]],TabDH12[Stimmen/Gelost],0)&lt;=(Sitze_Ausschuss-SUM(TabDH12[Sitze]))</f>
        <v>1</v>
      </c>
      <c r="EV9" s="50" t="b">
        <f>OR(TabDH12[[#This Row],[Sitze]]&lt;ROUNDDOWN(Grunddaten7[[#This Row],[Proporzgenaue Zahl Ausschuss]],0),TabDH12[[#This Row],[Sitze]]+(TabDH12[[#This Row],[Patt]]*1)&gt;ROUNDUP(Grunddaten7[[#This Row],[Proporzgenaue Zahl Ausschuss]],0))</f>
        <v>0</v>
      </c>
      <c r="EW9" s="3"/>
      <c r="EX9" s="51" t="str">
        <f>Grunddaten7[[#This Row],[Partei/Wählergruppe]]&amp;""</f>
        <v>FREIE WÄHLER</v>
      </c>
      <c r="EY9" s="51">
        <f t="shared" si="6"/>
        <v>4321</v>
      </c>
      <c r="EZ9" s="3"/>
      <c r="FA9" s="3"/>
      <c r="FB9" s="3"/>
      <c r="FC9" s="3"/>
      <c r="FD9" s="3"/>
    </row>
    <row r="10" spans="1:166" x14ac:dyDescent="0.25">
      <c r="A10" s="3"/>
      <c r="B10" s="89" t="str">
        <f t="shared" si="0"/>
        <v>SPD</v>
      </c>
      <c r="C10" s="91">
        <f t="shared" si="1"/>
        <v>8</v>
      </c>
      <c r="D10" s="168">
        <f>Grunddaten7[[#This Row],[Sitze im Hauptorgan]]/Grunddaten7[[#Totals],[Sitze im Hauptorgan]]*Sitze_Ausschuss</f>
        <v>1.5999999999999999</v>
      </c>
      <c r="E10" s="159" t="str">
        <f>IF(ROUNDDOWN(Grunddaten7[[#This Row],[Proporzgenaue Zahl Ausschuss]],0)&lt;&gt;ROUNDUP(Grunddaten7[[#This Row],[Proporzgenaue Zahl Ausschuss]],0), ROUNDDOWN(Grunddaten7[[#This Row],[Proporzgenaue Zahl Ausschuss]],0)&amp;" oder "&amp;ROUNDUP(Grunddaten7[[#This Row],[Proporzgenaue Zahl Ausschuss]],0),ROUND(Grunddaten7[[#This Row],[Proporzgenaue Zahl Ausschuss]],0))</f>
        <v>1 oder 2</v>
      </c>
      <c r="F10" s="52" t="str">
        <f t="shared" si="2"/>
        <v>OK</v>
      </c>
      <c r="G10" s="52" t="str">
        <f>IF(TabSLS10[[#This Row],[QK verletzt]],"NOK","OK")</f>
        <v>OK</v>
      </c>
      <c r="H10" s="53" t="str">
        <f>IF(TabDH12[[#This Row],[QK verletzt]],"NOK","OK")</f>
        <v>OK</v>
      </c>
      <c r="I10" s="163">
        <f t="shared" si="3"/>
        <v>2</v>
      </c>
      <c r="J10" s="163">
        <f t="shared" si="4"/>
        <v>2</v>
      </c>
      <c r="K10" s="163">
        <f t="shared" si="5"/>
        <v>2</v>
      </c>
      <c r="L10" s="3"/>
      <c r="M10" s="92">
        <f>TabHN9[[#This Row],[S ganz]]+IF(NOT(TabHN9[[#This Row],[Patt]]),TabHN9[[#This Row],[Restsitz]],0)</f>
        <v>2</v>
      </c>
      <c r="N10" s="162">
        <f>IF(TabHN9[[#This Row],[Patt]],IF(Pattaufloesung="Los-Chance",TabHN9[[#This Row],[Los Chance]],TabHN9[[#This Row],[Pattgewinn]]+0),0)</f>
        <v>0</v>
      </c>
      <c r="O10" s="30">
        <f>INT(Grunddaten7[[#This Row],[Proporzgenaue Zahl Ausschuss]])</f>
        <v>1</v>
      </c>
      <c r="P10" s="31">
        <f>ROUND(Grunddaten7[[#This Row],[Proporzgenaue Zahl Ausschuss]]-TabHN9[[#This Row],[S ganz]],4)</f>
        <v>0.6</v>
      </c>
      <c r="Q10" s="32">
        <f>_xlfn.RANK.EQ(TabHN9[[#This Row],[S Rest]],TabHN9[S Rest],0)</f>
        <v>2</v>
      </c>
      <c r="R10" s="30">
        <f>IF(TabHN9[[#This Row],[Rng Rest]]&lt;=TabHN9[[#Totals],[S Rest]],1,0)</f>
        <v>1</v>
      </c>
      <c r="S10" s="30" t="b">
        <f>AND(TabHN9[[#This Row],[Restsitz]]=1,(COUNTIF(TabHN9[Rng Rest],TabHN9[[#This Row],[Rng Rest]])+TabHN9[[#This Row],[Rng Rest]]-1)&gt;TabHN9[[#Totals],[S Rest]])</f>
        <v>0</v>
      </c>
      <c r="T10" s="33">
        <f>IF(TabHN9[[#This Row],[Patt]],(Sitze_Ausschuss-SUM(TabHN9[Sitze]))/TabHN9[[#Totals],[Patt]],0)</f>
        <v>0</v>
      </c>
      <c r="U10" s="34">
        <f>TabHN9[[#This Row],[Patt]]*IF(Pattaufloesung="Stimmen",TabPatt11[[#This Row],[Stimmen]],0)*1</f>
        <v>0</v>
      </c>
      <c r="V10" s="35" t="b">
        <f>_xlfn.RANK.EQ(TabHN9[[#This Row],[Stimmen/Gelost]],TabHN9[Stimmen/Gelost],0)&lt;=(Sitze_Ausschuss-SUM(TabHN9[Sitze]))</f>
        <v>0</v>
      </c>
      <c r="W10" s="3"/>
      <c r="X10" s="36">
        <f>COUNTIF(TabSLS10[[#This Row],[SP1]:[SP37]],"SITZ")</f>
        <v>2</v>
      </c>
      <c r="Y10" s="37">
        <f>IF(TabSLS10[[#This Row],[Patt?]],IF(Pattaufloesung="Los-Chance",TabSLS10[[#This Row],[Los Chance]],TabSLS10[[#This Row],[Pattgewinn]]+0),0)</f>
        <v>0</v>
      </c>
      <c r="Z10" s="38">
        <f>Grunddaten7[[#This Row],[Sitze im Hauptorgan]]/_xlfn.NUMBERVALUE(MID(INDEX(TabSLS10[[#Headers],[:1]:[:37]],COLUMN()-COLUMN(TabSLS10[[#Headers],[:1]])+1),2,3))</f>
        <v>8</v>
      </c>
      <c r="AA10" s="39">
        <f>Grunddaten7[[#This Row],[Sitze im Hauptorgan]]/_xlfn.NUMBERVALUE(MID(INDEX(TabSLS10[[#Headers],[:1]:[:37]],COLUMN()-COLUMN(TabSLS10[[#Headers],[:1]])+1),2,3))</f>
        <v>2.6666666666666665</v>
      </c>
      <c r="AB10" s="39">
        <f>Grunddaten7[[#This Row],[Sitze im Hauptorgan]]/_xlfn.NUMBERVALUE(MID(INDEX(TabSLS10[[#Headers],[:1]:[:37]],COLUMN()-COLUMN(TabSLS10[[#Headers],[:1]])+1),2,3))</f>
        <v>1.6</v>
      </c>
      <c r="AC10" s="39">
        <f>Grunddaten7[[#This Row],[Sitze im Hauptorgan]]/_xlfn.NUMBERVALUE(MID(INDEX(TabSLS10[[#Headers],[:1]:[:37]],COLUMN()-COLUMN(TabSLS10[[#Headers],[:1]])+1),2,3))</f>
        <v>1.1428571428571428</v>
      </c>
      <c r="AD10" s="39">
        <f>Grunddaten7[[#This Row],[Sitze im Hauptorgan]]/_xlfn.NUMBERVALUE(MID(INDEX(TabSLS10[[#Headers],[:1]:[:37]],COLUMN()-COLUMN(TabSLS10[[#Headers],[:1]])+1),2,3))</f>
        <v>0.88888888888888884</v>
      </c>
      <c r="AE10" s="39">
        <f>Grunddaten7[[#This Row],[Sitze im Hauptorgan]]/_xlfn.NUMBERVALUE(MID(INDEX(TabSLS10[[#Headers],[:1]:[:37]],COLUMN()-COLUMN(TabSLS10[[#Headers],[:1]])+1),2,3))</f>
        <v>0.72727272727272729</v>
      </c>
      <c r="AF10" s="39">
        <f>Grunddaten7[[#This Row],[Sitze im Hauptorgan]]/_xlfn.NUMBERVALUE(MID(INDEX(TabSLS10[[#Headers],[:1]:[:37]],COLUMN()-COLUMN(TabSLS10[[#Headers],[:1]])+1),2,3))</f>
        <v>0.61538461538461542</v>
      </c>
      <c r="AG10" s="39">
        <f>Grunddaten7[[#This Row],[Sitze im Hauptorgan]]/_xlfn.NUMBERVALUE(MID(INDEX(TabSLS10[[#Headers],[:1]:[:37]],COLUMN()-COLUMN(TabSLS10[[#Headers],[:1]])+1),2,3))</f>
        <v>0.53333333333333333</v>
      </c>
      <c r="AH10" s="39">
        <f>Grunddaten7[[#This Row],[Sitze im Hauptorgan]]/_xlfn.NUMBERVALUE(MID(INDEX(TabSLS10[[#Headers],[:1]:[:37]],COLUMN()-COLUMN(TabSLS10[[#Headers],[:1]])+1),2,3))</f>
        <v>0.47058823529411764</v>
      </c>
      <c r="AI10" s="39">
        <f>Grunddaten7[[#This Row],[Sitze im Hauptorgan]]/_xlfn.NUMBERVALUE(MID(INDEX(TabSLS10[[#Headers],[:1]:[:37]],COLUMN()-COLUMN(TabSLS10[[#Headers],[:1]])+1),2,3))</f>
        <v>0.42105263157894735</v>
      </c>
      <c r="AJ10" s="39">
        <f>Grunddaten7[[#This Row],[Sitze im Hauptorgan]]/_xlfn.NUMBERVALUE(MID(INDEX(TabSLS10[[#Headers],[:1]:[:37]],COLUMN()-COLUMN(TabSLS10[[#Headers],[:1]])+1),2,3))</f>
        <v>0.38095238095238093</v>
      </c>
      <c r="AK10" s="39">
        <f>Grunddaten7[[#This Row],[Sitze im Hauptorgan]]/_xlfn.NUMBERVALUE(MID(INDEX(TabSLS10[[#Headers],[:1]:[:37]],COLUMN()-COLUMN(TabSLS10[[#Headers],[:1]])+1),2,3))</f>
        <v>0.34782608695652173</v>
      </c>
      <c r="AL10" s="39">
        <f>Grunddaten7[[#This Row],[Sitze im Hauptorgan]]/_xlfn.NUMBERVALUE(MID(INDEX(TabSLS10[[#Headers],[:1]:[:37]],COLUMN()-COLUMN(TabSLS10[[#Headers],[:1]])+1),2,3))</f>
        <v>0.32</v>
      </c>
      <c r="AM10" s="39">
        <f>Grunddaten7[[#This Row],[Sitze im Hauptorgan]]/_xlfn.NUMBERVALUE(MID(INDEX(TabSLS10[[#Headers],[:1]:[:37]],COLUMN()-COLUMN(TabSLS10[[#Headers],[:1]])+1),2,3))</f>
        <v>0.29629629629629628</v>
      </c>
      <c r="AN10" s="39">
        <f>Grunddaten7[[#This Row],[Sitze im Hauptorgan]]/_xlfn.NUMBERVALUE(MID(INDEX(TabSLS10[[#Headers],[:1]:[:37]],COLUMN()-COLUMN(TabSLS10[[#Headers],[:1]])+1),2,3))</f>
        <v>0.27586206896551724</v>
      </c>
      <c r="AO10" s="39">
        <f>Grunddaten7[[#This Row],[Sitze im Hauptorgan]]/_xlfn.NUMBERVALUE(MID(INDEX(TabSLS10[[#Headers],[:1]:[:37]],COLUMN()-COLUMN(TabSLS10[[#Headers],[:1]])+1),2,3))</f>
        <v>0.25806451612903225</v>
      </c>
      <c r="AP10" s="39">
        <f>Grunddaten7[[#This Row],[Sitze im Hauptorgan]]/_xlfn.NUMBERVALUE(MID(INDEX(TabSLS10[[#Headers],[:1]:[:37]],COLUMN()-COLUMN(TabSLS10[[#Headers],[:1]])+1),2,3))</f>
        <v>0.24242424242424243</v>
      </c>
      <c r="AQ10" s="39">
        <f>Grunddaten7[[#This Row],[Sitze im Hauptorgan]]/_xlfn.NUMBERVALUE(MID(INDEX(TabSLS10[[#Headers],[:1]:[:37]],COLUMN()-COLUMN(TabSLS10[[#Headers],[:1]])+1),2,3))</f>
        <v>0.22857142857142856</v>
      </c>
      <c r="AR10" s="40">
        <f>Grunddaten7[[#This Row],[Sitze im Hauptorgan]]/_xlfn.NUMBERVALUE(MID(INDEX(TabSLS10[[#Headers],[:1]:[:37]],COLUMN()-COLUMN(TabSLS10[[#Headers],[:1]])+1),2,3))</f>
        <v>0.21621621621621623</v>
      </c>
      <c r="AS10" s="41">
        <f>_xlfn.RANK.EQ(TabSLS10[[#This Row],[:1]],TabSLS10[[:1]:[:37]],0)</f>
        <v>4</v>
      </c>
      <c r="AT10" s="42">
        <f>_xlfn.RANK.EQ(TabSLS10[[#This Row],[:3]],TabSLS10[[:1]:[:37]],0)</f>
        <v>14</v>
      </c>
      <c r="AU10" s="42">
        <f>_xlfn.RANK.EQ(TabSLS10[[#This Row],[:5]],TabSLS10[[:1]:[:37]],0)</f>
        <v>22</v>
      </c>
      <c r="AV10" s="42">
        <f>_xlfn.RANK.EQ(TabSLS10[[#This Row],[:7]],TabSLS10[[:1]:[:37]],0)</f>
        <v>31</v>
      </c>
      <c r="AW10" s="42">
        <f>_xlfn.RANK.EQ(TabSLS10[[#This Row],[:9]],TabSLS10[[:1]:[:37]],0)</f>
        <v>40</v>
      </c>
      <c r="AX10" s="42">
        <f>_xlfn.RANK.EQ(TabSLS10[[#This Row],[:11]],TabSLS10[[:1]:[:37]],0)</f>
        <v>49</v>
      </c>
      <c r="AY10" s="42">
        <f>_xlfn.RANK.EQ(TabSLS10[[#This Row],[:13]],TabSLS10[[:1]:[:37]],0)</f>
        <v>57</v>
      </c>
      <c r="AZ10" s="42">
        <f>_xlfn.RANK.EQ(TabSLS10[[#This Row],[:15]],TabSLS10[[:1]:[:37]],0)</f>
        <v>67</v>
      </c>
      <c r="BA10" s="42">
        <f>_xlfn.RANK.EQ(TabSLS10[[#This Row],[:17]],TabSLS10[[:1]:[:37]],0)</f>
        <v>72</v>
      </c>
      <c r="BB10" s="42">
        <f>_xlfn.RANK.EQ(TabSLS10[[#This Row],[:19]],TabSLS10[[:1]:[:37]],0)</f>
        <v>79</v>
      </c>
      <c r="BC10" s="42">
        <f>_xlfn.RANK.EQ(TabSLS10[[#This Row],[:21]],TabSLS10[[:1]:[:37]],0)</f>
        <v>83</v>
      </c>
      <c r="BD10" s="42">
        <f>_xlfn.RANK.EQ(TabSLS10[[#This Row],[:23]],TabSLS10[[:1]:[:37]],0)</f>
        <v>87</v>
      </c>
      <c r="BE10" s="42">
        <f>_xlfn.RANK.EQ(TabSLS10[[#This Row],[:25]],TabSLS10[[:1]:[:37]],0)</f>
        <v>92</v>
      </c>
      <c r="BF10" s="42">
        <f>_xlfn.RANK.EQ(TabSLS10[[#This Row],[:27]],TabSLS10[[:1]:[:37]],0)</f>
        <v>96</v>
      </c>
      <c r="BG10" s="42">
        <f>_xlfn.RANK.EQ(TabSLS10[[#This Row],[:29]],TabSLS10[[:1]:[:37]],0)</f>
        <v>100</v>
      </c>
      <c r="BH10" s="42">
        <f>_xlfn.RANK.EQ(TabSLS10[[#This Row],[:31]],TabSLS10[[:1]:[:37]],0)</f>
        <v>105</v>
      </c>
      <c r="BI10" s="42">
        <f>_xlfn.RANK.EQ(TabSLS10[[#This Row],[:33]],TabSLS10[[:1]:[:37]],0)</f>
        <v>106</v>
      </c>
      <c r="BJ10" s="42">
        <f>_xlfn.RANK.EQ(TabSLS10[[#This Row],[:35]],TabSLS10[[:1]:[:37]],0)</f>
        <v>110</v>
      </c>
      <c r="BK10" s="43">
        <f>_xlfn.RANK.EQ(TabSLS10[[#This Row],[:37]],TabSLS10[[:1]:[:37]],0)</f>
        <v>113</v>
      </c>
      <c r="BL10" s="44" t="str">
        <f>IF(TabSLS10[[#This Row],[R1]]&lt;=Sitze_Ausschuss,IF(TabSLS10[[#This Row],[R1]]+COUNTIF(TabSLS10[[R1]:[R37]],TabSLS10[[#This Row],[R1]])-1&lt;=Sitze_Ausschuss,"SITZ","PATT"),"")</f>
        <v>SITZ</v>
      </c>
      <c r="BM10" s="45" t="str">
        <f>IF(TabSLS10[[#This Row],[R3]]&lt;=Sitze_Ausschuss,IF(TabSLS10[[#This Row],[R3]]+COUNTIF(TabSLS10[[R1]:[R37]],TabSLS10[[#This Row],[R3]])-1&lt;=Sitze_Ausschuss,"SITZ","PATT"),"")</f>
        <v>SITZ</v>
      </c>
      <c r="BN10" s="45" t="str">
        <f>IF(TabSLS10[[#This Row],[R5]]&lt;=Sitze_Ausschuss,IF(TabSLS10[[#This Row],[R5]]+COUNTIF(TabSLS10[[R1]:[R37]],TabSLS10[[#This Row],[R5]])-1&lt;=Sitze_Ausschuss,"SITZ","PATT"),"")</f>
        <v/>
      </c>
      <c r="BO10" s="45" t="str">
        <f>IF(TabSLS10[[#This Row],[R7]]&lt;=Sitze_Ausschuss,IF(TabSLS10[[#This Row],[R7]]+COUNTIF(TabSLS10[[R1]:[R37]],TabSLS10[[#This Row],[R7]])-1&lt;=Sitze_Ausschuss,"SITZ","PATT"),"")</f>
        <v/>
      </c>
      <c r="BP10" s="45" t="str">
        <f>IF(TabSLS10[[#This Row],[R9]]&lt;=Sitze_Ausschuss,IF(TabSLS10[[#This Row],[R9]]+COUNTIF(TabSLS10[[R1]:[R37]],TabSLS10[[#This Row],[R9]])-1&lt;=Sitze_Ausschuss,"SITZ","PATT"),"")</f>
        <v/>
      </c>
      <c r="BQ10" s="45" t="str">
        <f>IF(TabSLS10[[#This Row],[R11]]&lt;=Sitze_Ausschuss,IF(TabSLS10[[#This Row],[R11]]+COUNTIF(TabSLS10[[R1]:[R37]],TabSLS10[[#This Row],[R11]])-1&lt;=Sitze_Ausschuss,"SITZ","PATT"),"")</f>
        <v/>
      </c>
      <c r="BR10" s="45" t="str">
        <f>IF(TabSLS10[[#This Row],[R13]]&lt;=Sitze_Ausschuss,IF(TabSLS10[[#This Row],[R13]]+COUNTIF(TabSLS10[[R1]:[R37]],TabSLS10[[#This Row],[R13]])-1&lt;=Sitze_Ausschuss,"SITZ","PATT"),"")</f>
        <v/>
      </c>
      <c r="BS10" s="45" t="str">
        <f>IF(TabSLS10[[#This Row],[R15]]&lt;=Sitze_Ausschuss,IF(TabSLS10[[#This Row],[R15]]+COUNTIF(TabSLS10[[R1]:[R37]],TabSLS10[[#This Row],[R15]])-1&lt;=Sitze_Ausschuss,"SITZ","PATT"),"")</f>
        <v/>
      </c>
      <c r="BT10" s="45" t="str">
        <f>IF(TabSLS10[[#This Row],[R17]]&lt;=Sitze_Ausschuss,IF(TabSLS10[[#This Row],[R17]]+COUNTIF(TabSLS10[[R1]:[R37]],TabSLS10[[#This Row],[R17]])-1&lt;=Sitze_Ausschuss,"SITZ","PATT"),"")</f>
        <v/>
      </c>
      <c r="BU10" s="45" t="str">
        <f>IF(TabSLS10[[#This Row],[R19]]&lt;=Sitze_Ausschuss,IF(TabSLS10[[#This Row],[R19]]+COUNTIF(TabSLS10[[R1]:[R37]],TabSLS10[[#This Row],[R19]])-1&lt;=Sitze_Ausschuss,"SITZ","PATT"),"")</f>
        <v/>
      </c>
      <c r="BV10" s="45" t="str">
        <f>IF(TabSLS10[[#This Row],[R21]]&lt;=Sitze_Ausschuss,IF(TabSLS10[[#This Row],[R21]]+COUNTIF(TabSLS10[[R1]:[R37]],TabSLS10[[#This Row],[R21]])-1&lt;=Sitze_Ausschuss,"SITZ","PATT"),"")</f>
        <v/>
      </c>
      <c r="BW10" s="45" t="str">
        <f>IF(TabSLS10[[#This Row],[R23]]&lt;=Sitze_Ausschuss,IF(TabSLS10[[#This Row],[R23]]+COUNTIF(TabSLS10[[R1]:[R37]],TabSLS10[[#This Row],[R23]])-1&lt;=Sitze_Ausschuss,"SITZ","PATT"),"")</f>
        <v/>
      </c>
      <c r="BX10" s="45" t="str">
        <f>IF(TabSLS10[[#This Row],[R25]]&lt;=Sitze_Ausschuss,IF(TabSLS10[[#This Row],[R25]]+COUNTIF(TabSLS10[[R1]:[R37]],TabSLS10[[#This Row],[R25]])-1&lt;=Sitze_Ausschuss,"SITZ","PATT"),"")</f>
        <v/>
      </c>
      <c r="BY10" s="45" t="str">
        <f>IF(TabSLS10[[#This Row],[R27]]&lt;=Sitze_Ausschuss,IF(TabSLS10[[#This Row],[R27]]+COUNTIF(TabSLS10[[R1]:[R37]],TabSLS10[[#This Row],[R27]])-1&lt;=Sitze_Ausschuss,"SITZ","PATT"),"")</f>
        <v/>
      </c>
      <c r="BZ10" s="45" t="str">
        <f>IF(TabSLS10[[#This Row],[R29]]&lt;=Sitze_Ausschuss,IF(TabSLS10[[#This Row],[R29]]+COUNTIF(TabSLS10[[R1]:[R37]],TabSLS10[[#This Row],[R29]])-1&lt;=Sitze_Ausschuss,"SITZ","PATT"),"")</f>
        <v/>
      </c>
      <c r="CA10" s="45" t="str">
        <f>IF(TabSLS10[[#This Row],[R31]]&lt;=Sitze_Ausschuss,IF(TabSLS10[[#This Row],[R31]]+COUNTIF(TabSLS10[[R1]:[R37]],TabSLS10[[#This Row],[R31]])-1&lt;=Sitze_Ausschuss,"SITZ","PATT"),"")</f>
        <v/>
      </c>
      <c r="CB10" s="45" t="str">
        <f>IF(TabSLS10[[#This Row],[R33]]&lt;=Sitze_Ausschuss,IF(TabSLS10[[#This Row],[R33]]+COUNTIF(TabSLS10[[R1]:[R37]],TabSLS10[[#This Row],[R33]])-1&lt;=Sitze_Ausschuss,"SITZ","PATT"),"")</f>
        <v/>
      </c>
      <c r="CC10" s="45" t="str">
        <f>IF(TabSLS10[[#This Row],[R35]]&lt;=Sitze_Ausschuss,IF(TabSLS10[[#This Row],[R35]]+COUNTIF(TabSLS10[[R1]:[R37]],TabSLS10[[#This Row],[R35]])-1&lt;=Sitze_Ausschuss,"SITZ","PATT"),"")</f>
        <v/>
      </c>
      <c r="CD10" s="46" t="str">
        <f>IF(TabSLS10[[#This Row],[R37]]&lt;=Sitze_Ausschuss,IF(TabSLS10[[#This Row],[R37]]+COUNTIF(TabSLS10[[R1]:[R37]],TabSLS10[[#This Row],[R37]])-1&lt;=Sitze_Ausschuss,"SITZ","PATT"),"")</f>
        <v/>
      </c>
      <c r="CE10" s="47" t="b">
        <f>COUNTIF(TabSLS10[[#This Row],[SP1]:[SP37]],"PATT")&gt;0</f>
        <v>0</v>
      </c>
      <c r="CF10" s="33">
        <f>IF(TabSLS10[[#This Row],[Patt?]],(Sitze_Ausschuss-SUM(TabSLS10[Sitze]))/TabSLS10[[#Totals],[Patt?]],0)</f>
        <v>0</v>
      </c>
      <c r="CG10" s="48">
        <f>TabSLS10[[#This Row],[Patt?]]*IF(Pattaufloesung="Stimmen",TabPatt11[[#This Row],[Stimmen]],0)*1</f>
        <v>0</v>
      </c>
      <c r="CH10" s="49" t="b">
        <f>_xlfn.RANK.EQ(TabSLS10[[#This Row],[Stimmen Gelost]],TabSLS10[Stimmen Gelost],0)&lt;=(Sitze_Ausschuss-SUM(TabSLS10[Sitze]))</f>
        <v>0</v>
      </c>
      <c r="CI10" s="50" t="b">
        <f>OR(TabSLS10[[#This Row],[Sitze]]&lt;ROUNDDOWN(Grunddaten7[[#This Row],[Proporzgenaue Zahl Ausschuss]],0),TabSLS10[[#This Row],[Sitze]]+(TabSLS10[[#This Row],[Patt?]]*1)&gt;ROUNDUP(Grunddaten7[[#This Row],[Proporzgenaue Zahl Ausschuss]],0))</f>
        <v>0</v>
      </c>
      <c r="CJ10" s="3"/>
      <c r="CK10" s="36">
        <f>COUNTIF(TabDH12[[#This Row],[SP1]:[SP19]],"SITZ")</f>
        <v>1</v>
      </c>
      <c r="CL10" s="37">
        <f>IF(TabDH12[[#This Row],[Patt]],IF(Pattaufloesung="Los-Chance",TabDH12[[#This Row],[Los Chance]],TabDH12[[#This Row],[Pattgewinn]]+0),0)</f>
        <v>0.5</v>
      </c>
      <c r="CM10" s="38">
        <f>Grunddaten7[[#This Row],[Sitze im Hauptorgan]]/_xlfn.NUMBERVALUE(MID(INDEX(TabDH12[[#Headers],[:1]:[:19]],COLUMN()-COLUMN(TabDH12[[#Headers],[:1]])+1),2,3))</f>
        <v>8</v>
      </c>
      <c r="CN10" s="39">
        <f>Grunddaten7[[#This Row],[Sitze im Hauptorgan]]/_xlfn.NUMBERVALUE(MID(INDEX(TabDH12[[#Headers],[:1]:[:19]],COLUMN()-COLUMN(TabDH12[[#Headers],[:1]])+1),2,3))</f>
        <v>4</v>
      </c>
      <c r="CO10" s="39">
        <f>Grunddaten7[[#This Row],[Sitze im Hauptorgan]]/_xlfn.NUMBERVALUE(MID(INDEX(TabDH12[[#Headers],[:1]:[:19]],COLUMN()-COLUMN(TabDH12[[#Headers],[:1]])+1),2,3))</f>
        <v>2.6666666666666665</v>
      </c>
      <c r="CP10" s="39">
        <f>Grunddaten7[[#This Row],[Sitze im Hauptorgan]]/_xlfn.NUMBERVALUE(MID(INDEX(TabDH12[[#Headers],[:1]:[:19]],COLUMN()-COLUMN(TabDH12[[#Headers],[:1]])+1),2,3))</f>
        <v>2</v>
      </c>
      <c r="CQ10" s="39">
        <f>Grunddaten7[[#This Row],[Sitze im Hauptorgan]]/_xlfn.NUMBERVALUE(MID(INDEX(TabDH12[[#Headers],[:1]:[:19]],COLUMN()-COLUMN(TabDH12[[#Headers],[:1]])+1),2,3))</f>
        <v>1.6</v>
      </c>
      <c r="CR10" s="39">
        <f>Grunddaten7[[#This Row],[Sitze im Hauptorgan]]/_xlfn.NUMBERVALUE(MID(INDEX(TabDH12[[#Headers],[:1]:[:19]],COLUMN()-COLUMN(TabDH12[[#Headers],[:1]])+1),2,3))</f>
        <v>1.3333333333333333</v>
      </c>
      <c r="CS10" s="39">
        <f>Grunddaten7[[#This Row],[Sitze im Hauptorgan]]/_xlfn.NUMBERVALUE(MID(INDEX(TabDH12[[#Headers],[:1]:[:19]],COLUMN()-COLUMN(TabDH12[[#Headers],[:1]])+1),2,3))</f>
        <v>1.1428571428571428</v>
      </c>
      <c r="CT10" s="39">
        <f>Grunddaten7[[#This Row],[Sitze im Hauptorgan]]/_xlfn.NUMBERVALUE(MID(INDEX(TabDH12[[#Headers],[:1]:[:19]],COLUMN()-COLUMN(TabDH12[[#Headers],[:1]])+1),2,3))</f>
        <v>1</v>
      </c>
      <c r="CU10" s="39">
        <f>Grunddaten7[[#This Row],[Sitze im Hauptorgan]]/_xlfn.NUMBERVALUE(MID(INDEX(TabDH12[[#Headers],[:1]:[:19]],COLUMN()-COLUMN(TabDH12[[#Headers],[:1]])+1),2,3))</f>
        <v>0.88888888888888884</v>
      </c>
      <c r="CV10" s="39">
        <f>Grunddaten7[[#This Row],[Sitze im Hauptorgan]]/_xlfn.NUMBERVALUE(MID(INDEX(TabDH12[[#Headers],[:1]:[:19]],COLUMN()-COLUMN(TabDH12[[#Headers],[:1]])+1),2,3))</f>
        <v>0.8</v>
      </c>
      <c r="CW10" s="39">
        <f>Grunddaten7[[#This Row],[Sitze im Hauptorgan]]/_xlfn.NUMBERVALUE(MID(INDEX(TabDH12[[#Headers],[:1]:[:19]],COLUMN()-COLUMN(TabDH12[[#Headers],[:1]])+1),2,3))</f>
        <v>0.72727272727272729</v>
      </c>
      <c r="CX10" s="39">
        <f>Grunddaten7[[#This Row],[Sitze im Hauptorgan]]/_xlfn.NUMBERVALUE(MID(INDEX(TabDH12[[#Headers],[:1]:[:19]],COLUMN()-COLUMN(TabDH12[[#Headers],[:1]])+1),2,3))</f>
        <v>0.66666666666666663</v>
      </c>
      <c r="CY10" s="39">
        <f>Grunddaten7[[#This Row],[Sitze im Hauptorgan]]/_xlfn.NUMBERVALUE(MID(INDEX(TabDH12[[#Headers],[:1]:[:19]],COLUMN()-COLUMN(TabDH12[[#Headers],[:1]])+1),2,3))</f>
        <v>0.61538461538461542</v>
      </c>
      <c r="CZ10" s="39">
        <f>Grunddaten7[[#This Row],[Sitze im Hauptorgan]]/_xlfn.NUMBERVALUE(MID(INDEX(TabDH12[[#Headers],[:1]:[:19]],COLUMN()-COLUMN(TabDH12[[#Headers],[:1]])+1),2,3))</f>
        <v>0.5714285714285714</v>
      </c>
      <c r="DA10" s="39">
        <f>Grunddaten7[[#This Row],[Sitze im Hauptorgan]]/_xlfn.NUMBERVALUE(MID(INDEX(TabDH12[[#Headers],[:1]:[:19]],COLUMN()-COLUMN(TabDH12[[#Headers],[:1]])+1),2,3))</f>
        <v>0.53333333333333333</v>
      </c>
      <c r="DB10" s="39">
        <f>Grunddaten7[[#This Row],[Sitze im Hauptorgan]]/_xlfn.NUMBERVALUE(MID(INDEX(TabDH12[[#Headers],[:1]:[:19]],COLUMN()-COLUMN(TabDH12[[#Headers],[:1]])+1),2,3))</f>
        <v>0.5</v>
      </c>
      <c r="DC10" s="39">
        <f>Grunddaten7[[#This Row],[Sitze im Hauptorgan]]/_xlfn.NUMBERVALUE(MID(INDEX(TabDH12[[#Headers],[:1]:[:19]],COLUMN()-COLUMN(TabDH12[[#Headers],[:1]])+1),2,3))</f>
        <v>0.47058823529411764</v>
      </c>
      <c r="DD10" s="39">
        <f>Grunddaten7[[#This Row],[Sitze im Hauptorgan]]/_xlfn.NUMBERVALUE(MID(INDEX(TabDH12[[#Headers],[:1]:[:19]],COLUMN()-COLUMN(TabDH12[[#Headers],[:1]])+1),2,3))</f>
        <v>0.44444444444444442</v>
      </c>
      <c r="DE10" s="40">
        <f>Grunddaten7[[#This Row],[Sitze im Hauptorgan]]/_xlfn.NUMBERVALUE(MID(INDEX(TabDH12[[#Headers],[:1]:[:19]],COLUMN()-COLUMN(TabDH12[[#Headers],[:1]])+1),2,3))</f>
        <v>0.42105263157894735</v>
      </c>
      <c r="DF10" s="41">
        <f>_xlfn.RANK.EQ(TabDH12[[#This Row],[:1]],TabDH12[[:1]:[:19]],0)</f>
        <v>5</v>
      </c>
      <c r="DG10" s="42">
        <f>_xlfn.RANK.EQ(TabDH12[[#This Row],[:2]],TabDH12[[:1]:[:19]],0)</f>
        <v>13</v>
      </c>
      <c r="DH10" s="42">
        <f>_xlfn.RANK.EQ(TabDH12[[#This Row],[:3]],TabDH12[[:1]:[:19]],0)</f>
        <v>22</v>
      </c>
      <c r="DI10" s="42">
        <f>_xlfn.RANK.EQ(TabDH12[[#This Row],[:4]],TabDH12[[:1]:[:19]],0)</f>
        <v>30</v>
      </c>
      <c r="DJ10" s="42">
        <f>_xlfn.RANK.EQ(TabDH12[[#This Row],[:5]],TabDH12[[:1]:[:19]],0)</f>
        <v>41</v>
      </c>
      <c r="DK10" s="42">
        <f>_xlfn.RANK.EQ(TabDH12[[#This Row],[:6]],TabDH12[[:1]:[:19]],0)</f>
        <v>48</v>
      </c>
      <c r="DL10" s="42">
        <f>_xlfn.RANK.EQ(TabDH12[[#This Row],[:7]],TabDH12[[:1]:[:19]],0)</f>
        <v>58</v>
      </c>
      <c r="DM10" s="42">
        <f>_xlfn.RANK.EQ(TabDH12[[#This Row],[:8]],TabDH12[[:1]:[:19]],0)</f>
        <v>64</v>
      </c>
      <c r="DN10" s="42">
        <f>_xlfn.RANK.EQ(TabDH12[[#This Row],[:9]],TabDH12[[:1]:[:19]],0)</f>
        <v>72</v>
      </c>
      <c r="DO10" s="42">
        <f>_xlfn.RANK.EQ(TabDH12[[#This Row],[:10]],TabDH12[[:1]:[:19]],0)</f>
        <v>78</v>
      </c>
      <c r="DP10" s="42">
        <f>_xlfn.RANK.EQ(TabDH12[[#This Row],[:11]],TabDH12[[:1]:[:19]],0)</f>
        <v>82</v>
      </c>
      <c r="DQ10" s="42">
        <f>_xlfn.RANK.EQ(TabDH12[[#This Row],[:12]],TabDH12[[:1]:[:19]],0)</f>
        <v>86</v>
      </c>
      <c r="DR10" s="42">
        <f>_xlfn.RANK.EQ(TabDH12[[#This Row],[:13]],TabDH12[[:1]:[:19]],0)</f>
        <v>92</v>
      </c>
      <c r="DS10" s="42">
        <f>_xlfn.RANK.EQ(TabDH12[[#This Row],[:14]],TabDH12[[:1]:[:19]],0)</f>
        <v>95</v>
      </c>
      <c r="DT10" s="42">
        <f>_xlfn.RANK.EQ(TabDH12[[#This Row],[:15]],TabDH12[[:1]:[:19]],0)</f>
        <v>100</v>
      </c>
      <c r="DU10" s="42">
        <f>_xlfn.RANK.EQ(TabDH12[[#This Row],[:16]],TabDH12[[:1]:[:19]],0)</f>
        <v>102</v>
      </c>
      <c r="DV10" s="42">
        <f>_xlfn.RANK.EQ(TabDH12[[#This Row],[:17]],TabDH12[[:1]:[:19]],0)</f>
        <v>106</v>
      </c>
      <c r="DW10" s="42">
        <f>_xlfn.RANK.EQ(TabDH12[[#This Row],[:18]],TabDH12[[:1]:[:19]],0)</f>
        <v>109</v>
      </c>
      <c r="DX10" s="43">
        <f>_xlfn.RANK.EQ(TabDH12[[#This Row],[:19]],TabDH12[[:1]:[:19]],0)</f>
        <v>112</v>
      </c>
      <c r="DY10" s="44" t="str">
        <f>IF(TabDH12[[#This Row],[R1]]&lt;=Sitze_Ausschuss,IF(TabDH12[[#This Row],[R1]]+COUNTIF(TabDH12[[R1]:[R19]],TabDH12[[#This Row],[R1]])-1&lt;=Sitze_Ausschuss,"SITZ","PATT"),"")</f>
        <v>SITZ</v>
      </c>
      <c r="DZ10" s="45" t="str">
        <f>IF(TabDH12[[#This Row],[R2]]&lt;=Sitze_Ausschuss,IF(TabDH12[[#This Row],[R2]]+COUNTIF(TabDH12[[R1]:[R19]],TabDH12[[#This Row],[R2]])-1&lt;=Sitze_Ausschuss,"SITZ","PATT"),"")</f>
        <v>PATT</v>
      </c>
      <c r="EA10" s="45" t="str">
        <f>IF(TabDH12[[#This Row],[R3]]&lt;=Sitze_Ausschuss,IF(TabDH12[[#This Row],[R3]]+COUNTIF(TabDH12[[R1]:[R19]],TabDH12[[#This Row],[R3]])-1&lt;=Sitze_Ausschuss,"SITZ","PATT"),"")</f>
        <v/>
      </c>
      <c r="EB10" s="45" t="str">
        <f>IF(TabDH12[[#This Row],[R4]]&lt;=Sitze_Ausschuss,IF(TabDH12[[#This Row],[R4]]+COUNTIF(TabDH12[[R1]:[R19]],TabDH12[[#This Row],[R4]])-1&lt;=Sitze_Ausschuss,"SITZ","PATT"),"")</f>
        <v/>
      </c>
      <c r="EC10" s="45" t="str">
        <f>IF(TabDH12[[#This Row],[R5]]&lt;=Sitze_Ausschuss,IF(TabDH12[[#This Row],[R5]]+COUNTIF(TabDH12[[R1]:[R19]],TabDH12[[#This Row],[R5]])-1&lt;=Sitze_Ausschuss,"SITZ","PATT"),"")</f>
        <v/>
      </c>
      <c r="ED10" s="45" t="str">
        <f>IF(TabDH12[[#This Row],[R6]]&lt;=Sitze_Ausschuss,IF(TabDH12[[#This Row],[R6]]+COUNTIF(TabDH12[[R1]:[R19]],TabDH12[[#This Row],[R6]])-1&lt;=Sitze_Ausschuss,"SITZ","PATT"),"")</f>
        <v/>
      </c>
      <c r="EE10" s="45" t="str">
        <f>IF(TabDH12[[#This Row],[R7]]&lt;=Sitze_Ausschuss,IF(TabDH12[[#This Row],[R7]]+COUNTIF(TabDH12[[R1]:[R19]],TabDH12[[#This Row],[R7]])-1&lt;=Sitze_Ausschuss,"SITZ","PATT"),"")</f>
        <v/>
      </c>
      <c r="EF10" s="45" t="str">
        <f>IF(TabDH12[[#This Row],[R8]]&lt;=Sitze_Ausschuss,IF(TabDH12[[#This Row],[R8]]+COUNTIF(TabDH12[[R1]:[R19]],TabDH12[[#This Row],[R8]])-1&lt;=Sitze_Ausschuss,"SITZ","PATT"),"")</f>
        <v/>
      </c>
      <c r="EG10" s="45" t="str">
        <f>IF(TabDH12[[#This Row],[R9]]&lt;=Sitze_Ausschuss,IF(TabDH12[[#This Row],[R9]]+COUNTIF(TabDH12[[R1]:[R19]],TabDH12[[#This Row],[R9]])-1&lt;=Sitze_Ausschuss,"SITZ","PATT"),"")</f>
        <v/>
      </c>
      <c r="EH10" s="45" t="str">
        <f>IF(TabDH12[[#This Row],[R10]]&lt;=Sitze_Ausschuss,IF(TabDH12[[#This Row],[R10]]+COUNTIF(TabDH12[[R1]:[R19]],TabDH12[[#This Row],[R10]])-1&lt;=Sitze_Ausschuss,"SITZ","PATT"),"")</f>
        <v/>
      </c>
      <c r="EI10" s="45" t="str">
        <f>IF(TabDH12[[#This Row],[R11]]&lt;=Sitze_Ausschuss,IF(TabDH12[[#This Row],[R11]]+COUNTIF(TabDH12[[R1]:[R19]],TabDH12[[#This Row],[R11]])-1&lt;=Sitze_Ausschuss,"SITZ","PATT"),"")</f>
        <v/>
      </c>
      <c r="EJ10" s="45" t="str">
        <f>IF(TabDH12[[#This Row],[R12]]&lt;=Sitze_Ausschuss,IF(TabDH12[[#This Row],[R12]]+COUNTIF(TabDH12[[R1]:[R19]],TabDH12[[#This Row],[R12]])-1&lt;=Sitze_Ausschuss,"SITZ","PATT"),"")</f>
        <v/>
      </c>
      <c r="EK10" s="45" t="str">
        <f>IF(TabDH12[[#This Row],[R13]]&lt;=Sitze_Ausschuss,IF(TabDH12[[#This Row],[R13]]+COUNTIF(TabDH12[[R1]:[R19]],TabDH12[[#This Row],[R13]])-1&lt;=Sitze_Ausschuss,"SITZ","PATT"),"")</f>
        <v/>
      </c>
      <c r="EL10" s="45" t="str">
        <f>IF(TabDH12[[#This Row],[R14]]&lt;=Sitze_Ausschuss,IF(TabDH12[[#This Row],[R14]]+COUNTIF(TabDH12[[R1]:[R19]],TabDH12[[#This Row],[R14]])-1&lt;=Sitze_Ausschuss,"SITZ","PATT"),"")</f>
        <v/>
      </c>
      <c r="EM10" s="45" t="str">
        <f>IF(TabDH12[[#This Row],[R15]]&lt;=Sitze_Ausschuss,IF(TabDH12[[#This Row],[R15]]+COUNTIF(TabDH12[[R1]:[R19]],TabDH12[[#This Row],[R15]])-1&lt;=Sitze_Ausschuss,"SITZ","PATT"),"")</f>
        <v/>
      </c>
      <c r="EN10" s="45" t="str">
        <f>IF(TabDH12[[#This Row],[R16]]&lt;=Sitze_Ausschuss,IF(TabDH12[[#This Row],[R16]]+COUNTIF(TabDH12[[R1]:[R19]],TabDH12[[#This Row],[R16]])-1&lt;=Sitze_Ausschuss,"SITZ","PATT"),"")</f>
        <v/>
      </c>
      <c r="EO10" s="45" t="str">
        <f>IF(TabDH12[[#This Row],[R17]]&lt;=Sitze_Ausschuss,IF(TabDH12[[#This Row],[R17]]+COUNTIF(TabDH12[[R1]:[R19]],TabDH12[[#This Row],[R17]])-1&lt;=Sitze_Ausschuss,"SITZ","PATT"),"")</f>
        <v/>
      </c>
      <c r="EP10" s="45" t="str">
        <f>IF(TabDH12[[#This Row],[R18]]&lt;=Sitze_Ausschuss,IF(TabDH12[[#This Row],[R18]]+COUNTIF(TabDH12[[R1]:[R19]],TabDH12[[#This Row],[R18]])-1&lt;=Sitze_Ausschuss,"SITZ","PATT"),"")</f>
        <v/>
      </c>
      <c r="EQ10" s="45" t="str">
        <f>IF(TabDH12[[#This Row],[R19]]&lt;=Sitze_Ausschuss,IF(TabDH12[[#This Row],[R19]]+COUNTIF(TabDH12[[R1]:[R19]],TabDH12[[#This Row],[R19]])-1&lt;=Sitze_Ausschuss,"SITZ","PATT"),"")</f>
        <v/>
      </c>
      <c r="ER10" s="47" t="b">
        <f>COUNTIF(TabDH12[[#This Row],[SP1]:[SP19]],"PATT")&gt;0</f>
        <v>1</v>
      </c>
      <c r="ES10" s="33">
        <f>IF(TabDH12[[#This Row],[Patt]],(Sitze_Ausschuss-SUM(TabDH12[Sitze]))/TabDH12[[#Totals],[Patt]],0)</f>
        <v>0.5</v>
      </c>
      <c r="ET10" s="48">
        <f>TabDH12[[#This Row],[Patt]]*IF(Pattaufloesung="Stimmen",TabPatt11[[#This Row],[Stimmen]],0)*1</f>
        <v>0</v>
      </c>
      <c r="EU10" s="49" t="b">
        <f>_xlfn.RANK.EQ(TabDH12[[#This Row],[Stimmen/Gelost]],TabDH12[Stimmen/Gelost],0)&lt;=(Sitze_Ausschuss-SUM(TabDH12[Sitze]))</f>
        <v>1</v>
      </c>
      <c r="EV10" s="50" t="b">
        <f>OR(TabDH12[[#This Row],[Sitze]]&lt;ROUNDDOWN(Grunddaten7[[#This Row],[Proporzgenaue Zahl Ausschuss]],0),TabDH12[[#This Row],[Sitze]]+(TabDH12[[#This Row],[Patt]]*1)&gt;ROUNDUP(Grunddaten7[[#This Row],[Proporzgenaue Zahl Ausschuss]],0))</f>
        <v>0</v>
      </c>
      <c r="EW10" s="3"/>
      <c r="EX10" s="51" t="str">
        <f>Grunddaten7[[#This Row],[Partei/Wählergruppe]]&amp;""</f>
        <v>SPD</v>
      </c>
      <c r="EY10" s="51">
        <f t="shared" si="6"/>
        <v>3210</v>
      </c>
      <c r="EZ10" s="3"/>
      <c r="FA10" s="3"/>
      <c r="FB10" s="3"/>
      <c r="FC10" s="3"/>
      <c r="FD10" s="3"/>
    </row>
    <row r="11" spans="1:166" x14ac:dyDescent="0.25">
      <c r="A11" s="3"/>
      <c r="B11" s="89" t="str">
        <f t="shared" si="0"/>
        <v>AfD</v>
      </c>
      <c r="C11" s="91">
        <f t="shared" si="1"/>
        <v>4</v>
      </c>
      <c r="D11" s="168">
        <f>Grunddaten7[[#This Row],[Sitze im Hauptorgan]]/Grunddaten7[[#Totals],[Sitze im Hauptorgan]]*Sitze_Ausschuss</f>
        <v>0.79999999999999993</v>
      </c>
      <c r="E11" s="159" t="str">
        <f>IF(ROUNDDOWN(Grunddaten7[[#This Row],[Proporzgenaue Zahl Ausschuss]],0)&lt;&gt;ROUNDUP(Grunddaten7[[#This Row],[Proporzgenaue Zahl Ausschuss]],0), ROUNDDOWN(Grunddaten7[[#This Row],[Proporzgenaue Zahl Ausschuss]],0)&amp;" oder "&amp;ROUNDUP(Grunddaten7[[#This Row],[Proporzgenaue Zahl Ausschuss]],0),ROUND(Grunddaten7[[#This Row],[Proporzgenaue Zahl Ausschuss]],0))</f>
        <v>0 oder 1</v>
      </c>
      <c r="F11" s="52" t="str">
        <f t="shared" si="2"/>
        <v>OK</v>
      </c>
      <c r="G11" s="52" t="str">
        <f>IF(TabSLS10[[#This Row],[QK verletzt]],"NOK","OK")</f>
        <v>OK</v>
      </c>
      <c r="H11" s="53" t="str">
        <f>IF(TabDH12[[#This Row],[QK verletzt]],"NOK","OK")</f>
        <v>OK</v>
      </c>
      <c r="I11" s="163">
        <f t="shared" si="3"/>
        <v>1</v>
      </c>
      <c r="J11" s="163">
        <f t="shared" si="4"/>
        <v>1</v>
      </c>
      <c r="K11" s="163">
        <f t="shared" si="5"/>
        <v>1</v>
      </c>
      <c r="L11" s="3"/>
      <c r="M11" s="92">
        <f>TabHN9[[#This Row],[S ganz]]+IF(NOT(TabHN9[[#This Row],[Patt]]),TabHN9[[#This Row],[Restsitz]],0)</f>
        <v>1</v>
      </c>
      <c r="N11" s="162">
        <f>IF(TabHN9[[#This Row],[Patt]],IF(Pattaufloesung="Los-Chance",TabHN9[[#This Row],[Los Chance]],TabHN9[[#This Row],[Pattgewinn]]+0),0)</f>
        <v>0</v>
      </c>
      <c r="O11" s="30">
        <f>INT(Grunddaten7[[#This Row],[Proporzgenaue Zahl Ausschuss]])</f>
        <v>0</v>
      </c>
      <c r="P11" s="31">
        <f>ROUND(Grunddaten7[[#This Row],[Proporzgenaue Zahl Ausschuss]]-TabHN9[[#This Row],[S ganz]],4)</f>
        <v>0.8</v>
      </c>
      <c r="Q11" s="32">
        <f>_xlfn.RANK.EQ(TabHN9[[#This Row],[S Rest]],TabHN9[S Rest],0)</f>
        <v>1</v>
      </c>
      <c r="R11" s="30">
        <f>IF(TabHN9[[#This Row],[Rng Rest]]&lt;=TabHN9[[#Totals],[S Rest]],1,0)</f>
        <v>1</v>
      </c>
      <c r="S11" s="30" t="b">
        <f>AND(TabHN9[[#This Row],[Restsitz]]=1,(COUNTIF(TabHN9[Rng Rest],TabHN9[[#This Row],[Rng Rest]])+TabHN9[[#This Row],[Rng Rest]]-1)&gt;TabHN9[[#Totals],[S Rest]])</f>
        <v>0</v>
      </c>
      <c r="T11" s="33">
        <f>IF(TabHN9[[#This Row],[Patt]],(Sitze_Ausschuss-SUM(TabHN9[Sitze]))/TabHN9[[#Totals],[Patt]],0)</f>
        <v>0</v>
      </c>
      <c r="U11" s="34">
        <f>TabHN9[[#This Row],[Patt]]*IF(Pattaufloesung="Stimmen",TabPatt11[[#This Row],[Stimmen]],0)*1</f>
        <v>0</v>
      </c>
      <c r="V11" s="35" t="b">
        <f>_xlfn.RANK.EQ(TabHN9[[#This Row],[Stimmen/Gelost]],TabHN9[Stimmen/Gelost],0)&lt;=(Sitze_Ausschuss-SUM(TabHN9[Sitze]))</f>
        <v>0</v>
      </c>
      <c r="W11" s="3"/>
      <c r="X11" s="36">
        <f>COUNTIF(TabSLS10[[#This Row],[SP1]:[SP37]],"SITZ")</f>
        <v>1</v>
      </c>
      <c r="Y11" s="37">
        <f>IF(TabSLS10[[#This Row],[Patt?]],IF(Pattaufloesung="Los-Chance",TabSLS10[[#This Row],[Los Chance]],TabSLS10[[#This Row],[Pattgewinn]]+0),0)</f>
        <v>0</v>
      </c>
      <c r="Z11" s="38">
        <f>Grunddaten7[[#This Row],[Sitze im Hauptorgan]]/_xlfn.NUMBERVALUE(MID(INDEX(TabSLS10[[#Headers],[:1]:[:37]],COLUMN()-COLUMN(TabSLS10[[#Headers],[:1]])+1),2,3))</f>
        <v>4</v>
      </c>
      <c r="AA11" s="39">
        <f>Grunddaten7[[#This Row],[Sitze im Hauptorgan]]/_xlfn.NUMBERVALUE(MID(INDEX(TabSLS10[[#Headers],[:1]:[:37]],COLUMN()-COLUMN(TabSLS10[[#Headers],[:1]])+1),2,3))</f>
        <v>1.3333333333333333</v>
      </c>
      <c r="AB11" s="39">
        <f>Grunddaten7[[#This Row],[Sitze im Hauptorgan]]/_xlfn.NUMBERVALUE(MID(INDEX(TabSLS10[[#Headers],[:1]:[:37]],COLUMN()-COLUMN(TabSLS10[[#Headers],[:1]])+1),2,3))</f>
        <v>0.8</v>
      </c>
      <c r="AC11" s="39">
        <f>Grunddaten7[[#This Row],[Sitze im Hauptorgan]]/_xlfn.NUMBERVALUE(MID(INDEX(TabSLS10[[#Headers],[:1]:[:37]],COLUMN()-COLUMN(TabSLS10[[#Headers],[:1]])+1),2,3))</f>
        <v>0.5714285714285714</v>
      </c>
      <c r="AD11" s="39">
        <f>Grunddaten7[[#This Row],[Sitze im Hauptorgan]]/_xlfn.NUMBERVALUE(MID(INDEX(TabSLS10[[#Headers],[:1]:[:37]],COLUMN()-COLUMN(TabSLS10[[#Headers],[:1]])+1),2,3))</f>
        <v>0.44444444444444442</v>
      </c>
      <c r="AE11" s="39">
        <f>Grunddaten7[[#This Row],[Sitze im Hauptorgan]]/_xlfn.NUMBERVALUE(MID(INDEX(TabSLS10[[#Headers],[:1]:[:37]],COLUMN()-COLUMN(TabSLS10[[#Headers],[:1]])+1),2,3))</f>
        <v>0.36363636363636365</v>
      </c>
      <c r="AF11" s="39">
        <f>Grunddaten7[[#This Row],[Sitze im Hauptorgan]]/_xlfn.NUMBERVALUE(MID(INDEX(TabSLS10[[#Headers],[:1]:[:37]],COLUMN()-COLUMN(TabSLS10[[#Headers],[:1]])+1),2,3))</f>
        <v>0.30769230769230771</v>
      </c>
      <c r="AG11" s="39">
        <f>Grunddaten7[[#This Row],[Sitze im Hauptorgan]]/_xlfn.NUMBERVALUE(MID(INDEX(TabSLS10[[#Headers],[:1]:[:37]],COLUMN()-COLUMN(TabSLS10[[#Headers],[:1]])+1),2,3))</f>
        <v>0.26666666666666666</v>
      </c>
      <c r="AH11" s="39">
        <f>Grunddaten7[[#This Row],[Sitze im Hauptorgan]]/_xlfn.NUMBERVALUE(MID(INDEX(TabSLS10[[#Headers],[:1]:[:37]],COLUMN()-COLUMN(TabSLS10[[#Headers],[:1]])+1),2,3))</f>
        <v>0.23529411764705882</v>
      </c>
      <c r="AI11" s="39">
        <f>Grunddaten7[[#This Row],[Sitze im Hauptorgan]]/_xlfn.NUMBERVALUE(MID(INDEX(TabSLS10[[#Headers],[:1]:[:37]],COLUMN()-COLUMN(TabSLS10[[#Headers],[:1]])+1),2,3))</f>
        <v>0.21052631578947367</v>
      </c>
      <c r="AJ11" s="39">
        <f>Grunddaten7[[#This Row],[Sitze im Hauptorgan]]/_xlfn.NUMBERVALUE(MID(INDEX(TabSLS10[[#Headers],[:1]:[:37]],COLUMN()-COLUMN(TabSLS10[[#Headers],[:1]])+1),2,3))</f>
        <v>0.19047619047619047</v>
      </c>
      <c r="AK11" s="39">
        <f>Grunddaten7[[#This Row],[Sitze im Hauptorgan]]/_xlfn.NUMBERVALUE(MID(INDEX(TabSLS10[[#Headers],[:1]:[:37]],COLUMN()-COLUMN(TabSLS10[[#Headers],[:1]])+1),2,3))</f>
        <v>0.17391304347826086</v>
      </c>
      <c r="AL11" s="39">
        <f>Grunddaten7[[#This Row],[Sitze im Hauptorgan]]/_xlfn.NUMBERVALUE(MID(INDEX(TabSLS10[[#Headers],[:1]:[:37]],COLUMN()-COLUMN(TabSLS10[[#Headers],[:1]])+1),2,3))</f>
        <v>0.16</v>
      </c>
      <c r="AM11" s="39">
        <f>Grunddaten7[[#This Row],[Sitze im Hauptorgan]]/_xlfn.NUMBERVALUE(MID(INDEX(TabSLS10[[#Headers],[:1]:[:37]],COLUMN()-COLUMN(TabSLS10[[#Headers],[:1]])+1),2,3))</f>
        <v>0.14814814814814814</v>
      </c>
      <c r="AN11" s="39">
        <f>Grunddaten7[[#This Row],[Sitze im Hauptorgan]]/_xlfn.NUMBERVALUE(MID(INDEX(TabSLS10[[#Headers],[:1]:[:37]],COLUMN()-COLUMN(TabSLS10[[#Headers],[:1]])+1),2,3))</f>
        <v>0.13793103448275862</v>
      </c>
      <c r="AO11" s="39">
        <f>Grunddaten7[[#This Row],[Sitze im Hauptorgan]]/_xlfn.NUMBERVALUE(MID(INDEX(TabSLS10[[#Headers],[:1]:[:37]],COLUMN()-COLUMN(TabSLS10[[#Headers],[:1]])+1),2,3))</f>
        <v>0.12903225806451613</v>
      </c>
      <c r="AP11" s="39">
        <f>Grunddaten7[[#This Row],[Sitze im Hauptorgan]]/_xlfn.NUMBERVALUE(MID(INDEX(TabSLS10[[#Headers],[:1]:[:37]],COLUMN()-COLUMN(TabSLS10[[#Headers],[:1]])+1),2,3))</f>
        <v>0.12121212121212122</v>
      </c>
      <c r="AQ11" s="39">
        <f>Grunddaten7[[#This Row],[Sitze im Hauptorgan]]/_xlfn.NUMBERVALUE(MID(INDEX(TabSLS10[[#Headers],[:1]:[:37]],COLUMN()-COLUMN(TabSLS10[[#Headers],[:1]])+1),2,3))</f>
        <v>0.11428571428571428</v>
      </c>
      <c r="AR11" s="40">
        <f>Grunddaten7[[#This Row],[Sitze im Hauptorgan]]/_xlfn.NUMBERVALUE(MID(INDEX(TabSLS10[[#Headers],[:1]:[:37]],COLUMN()-COLUMN(TabSLS10[[#Headers],[:1]])+1),2,3))</f>
        <v>0.10810810810810811</v>
      </c>
      <c r="AS11" s="41">
        <f>_xlfn.RANK.EQ(TabSLS10[[#This Row],[:1]],TabSLS10[[:1]:[:37]],0)</f>
        <v>9</v>
      </c>
      <c r="AT11" s="42">
        <f>_xlfn.RANK.EQ(TabSLS10[[#This Row],[:3]],TabSLS10[[:1]:[:37]],0)</f>
        <v>27</v>
      </c>
      <c r="AU11" s="42">
        <f>_xlfn.RANK.EQ(TabSLS10[[#This Row],[:5]],TabSLS10[[:1]:[:37]],0)</f>
        <v>43</v>
      </c>
      <c r="AV11" s="42">
        <f>_xlfn.RANK.EQ(TabSLS10[[#This Row],[:7]],TabSLS10[[:1]:[:37]],0)</f>
        <v>61</v>
      </c>
      <c r="AW11" s="42">
        <f>_xlfn.RANK.EQ(TabSLS10[[#This Row],[:9]],TabSLS10[[:1]:[:37]],0)</f>
        <v>76</v>
      </c>
      <c r="AX11" s="42">
        <f>_xlfn.RANK.EQ(TabSLS10[[#This Row],[:11]],TabSLS10[[:1]:[:37]],0)</f>
        <v>86</v>
      </c>
      <c r="AY11" s="42">
        <f>_xlfn.RANK.EQ(TabSLS10[[#This Row],[:13]],TabSLS10[[:1]:[:37]],0)</f>
        <v>93</v>
      </c>
      <c r="AZ11" s="42">
        <f>_xlfn.RANK.EQ(TabSLS10[[#This Row],[:15]],TabSLS10[[:1]:[:37]],0)</f>
        <v>102</v>
      </c>
      <c r="BA11" s="42">
        <f>_xlfn.RANK.EQ(TabSLS10[[#This Row],[:17]],TabSLS10[[:1]:[:37]],0)</f>
        <v>109</v>
      </c>
      <c r="BB11" s="42">
        <f>_xlfn.RANK.EQ(TabSLS10[[#This Row],[:19]],TabSLS10[[:1]:[:37]],0)</f>
        <v>115</v>
      </c>
      <c r="BC11" s="42">
        <f>_xlfn.RANK.EQ(TabSLS10[[#This Row],[:21]],TabSLS10[[:1]:[:37]],0)</f>
        <v>118</v>
      </c>
      <c r="BD11" s="42">
        <f>_xlfn.RANK.EQ(TabSLS10[[#This Row],[:23]],TabSLS10[[:1]:[:37]],0)</f>
        <v>121</v>
      </c>
      <c r="BE11" s="42">
        <f>_xlfn.RANK.EQ(TabSLS10[[#This Row],[:25]],TabSLS10[[:1]:[:37]],0)</f>
        <v>124</v>
      </c>
      <c r="BF11" s="42">
        <f>_xlfn.RANK.EQ(TabSLS10[[#This Row],[:27]],TabSLS10[[:1]:[:37]],0)</f>
        <v>126</v>
      </c>
      <c r="BG11" s="42">
        <f>_xlfn.RANK.EQ(TabSLS10[[#This Row],[:29]],TabSLS10[[:1]:[:37]],0)</f>
        <v>128</v>
      </c>
      <c r="BH11" s="42">
        <f>_xlfn.RANK.EQ(TabSLS10[[#This Row],[:31]],TabSLS10[[:1]:[:37]],0)</f>
        <v>130</v>
      </c>
      <c r="BI11" s="42">
        <f>_xlfn.RANK.EQ(TabSLS10[[#This Row],[:33]],TabSLS10[[:1]:[:37]],0)</f>
        <v>131</v>
      </c>
      <c r="BJ11" s="42">
        <f>_xlfn.RANK.EQ(TabSLS10[[#This Row],[:35]],TabSLS10[[:1]:[:37]],0)</f>
        <v>132</v>
      </c>
      <c r="BK11" s="43">
        <f>_xlfn.RANK.EQ(TabSLS10[[#This Row],[:37]],TabSLS10[[:1]:[:37]],0)</f>
        <v>133</v>
      </c>
      <c r="BL11" s="44" t="str">
        <f>IF(TabSLS10[[#This Row],[R1]]&lt;=Sitze_Ausschuss,IF(TabSLS10[[#This Row],[R1]]+COUNTIF(TabSLS10[[R1]:[R37]],TabSLS10[[#This Row],[R1]])-1&lt;=Sitze_Ausschuss,"SITZ","PATT"),"")</f>
        <v>SITZ</v>
      </c>
      <c r="BM11" s="45" t="str">
        <f>IF(TabSLS10[[#This Row],[R3]]&lt;=Sitze_Ausschuss,IF(TabSLS10[[#This Row],[R3]]+COUNTIF(TabSLS10[[R1]:[R37]],TabSLS10[[#This Row],[R3]])-1&lt;=Sitze_Ausschuss,"SITZ","PATT"),"")</f>
        <v/>
      </c>
      <c r="BN11" s="45" t="str">
        <f>IF(TabSLS10[[#This Row],[R5]]&lt;=Sitze_Ausschuss,IF(TabSLS10[[#This Row],[R5]]+COUNTIF(TabSLS10[[R1]:[R37]],TabSLS10[[#This Row],[R5]])-1&lt;=Sitze_Ausschuss,"SITZ","PATT"),"")</f>
        <v/>
      </c>
      <c r="BO11" s="45" t="str">
        <f>IF(TabSLS10[[#This Row],[R7]]&lt;=Sitze_Ausschuss,IF(TabSLS10[[#This Row],[R7]]+COUNTIF(TabSLS10[[R1]:[R37]],TabSLS10[[#This Row],[R7]])-1&lt;=Sitze_Ausschuss,"SITZ","PATT"),"")</f>
        <v/>
      </c>
      <c r="BP11" s="45" t="str">
        <f>IF(TabSLS10[[#This Row],[R9]]&lt;=Sitze_Ausschuss,IF(TabSLS10[[#This Row],[R9]]+COUNTIF(TabSLS10[[R1]:[R37]],TabSLS10[[#This Row],[R9]])-1&lt;=Sitze_Ausschuss,"SITZ","PATT"),"")</f>
        <v/>
      </c>
      <c r="BQ11" s="45" t="str">
        <f>IF(TabSLS10[[#This Row],[R11]]&lt;=Sitze_Ausschuss,IF(TabSLS10[[#This Row],[R11]]+COUNTIF(TabSLS10[[R1]:[R37]],TabSLS10[[#This Row],[R11]])-1&lt;=Sitze_Ausschuss,"SITZ","PATT"),"")</f>
        <v/>
      </c>
      <c r="BR11" s="45" t="str">
        <f>IF(TabSLS10[[#This Row],[R13]]&lt;=Sitze_Ausschuss,IF(TabSLS10[[#This Row],[R13]]+COUNTIF(TabSLS10[[R1]:[R37]],TabSLS10[[#This Row],[R13]])-1&lt;=Sitze_Ausschuss,"SITZ","PATT"),"")</f>
        <v/>
      </c>
      <c r="BS11" s="45" t="str">
        <f>IF(TabSLS10[[#This Row],[R15]]&lt;=Sitze_Ausschuss,IF(TabSLS10[[#This Row],[R15]]+COUNTIF(TabSLS10[[R1]:[R37]],TabSLS10[[#This Row],[R15]])-1&lt;=Sitze_Ausschuss,"SITZ","PATT"),"")</f>
        <v/>
      </c>
      <c r="BT11" s="45" t="str">
        <f>IF(TabSLS10[[#This Row],[R17]]&lt;=Sitze_Ausschuss,IF(TabSLS10[[#This Row],[R17]]+COUNTIF(TabSLS10[[R1]:[R37]],TabSLS10[[#This Row],[R17]])-1&lt;=Sitze_Ausschuss,"SITZ","PATT"),"")</f>
        <v/>
      </c>
      <c r="BU11" s="45" t="str">
        <f>IF(TabSLS10[[#This Row],[R19]]&lt;=Sitze_Ausschuss,IF(TabSLS10[[#This Row],[R19]]+COUNTIF(TabSLS10[[R1]:[R37]],TabSLS10[[#This Row],[R19]])-1&lt;=Sitze_Ausschuss,"SITZ","PATT"),"")</f>
        <v/>
      </c>
      <c r="BV11" s="45" t="str">
        <f>IF(TabSLS10[[#This Row],[R21]]&lt;=Sitze_Ausschuss,IF(TabSLS10[[#This Row],[R21]]+COUNTIF(TabSLS10[[R1]:[R37]],TabSLS10[[#This Row],[R21]])-1&lt;=Sitze_Ausschuss,"SITZ","PATT"),"")</f>
        <v/>
      </c>
      <c r="BW11" s="45" t="str">
        <f>IF(TabSLS10[[#This Row],[R23]]&lt;=Sitze_Ausschuss,IF(TabSLS10[[#This Row],[R23]]+COUNTIF(TabSLS10[[R1]:[R37]],TabSLS10[[#This Row],[R23]])-1&lt;=Sitze_Ausschuss,"SITZ","PATT"),"")</f>
        <v/>
      </c>
      <c r="BX11" s="45" t="str">
        <f>IF(TabSLS10[[#This Row],[R25]]&lt;=Sitze_Ausschuss,IF(TabSLS10[[#This Row],[R25]]+COUNTIF(TabSLS10[[R1]:[R37]],TabSLS10[[#This Row],[R25]])-1&lt;=Sitze_Ausschuss,"SITZ","PATT"),"")</f>
        <v/>
      </c>
      <c r="BY11" s="45" t="str">
        <f>IF(TabSLS10[[#This Row],[R27]]&lt;=Sitze_Ausschuss,IF(TabSLS10[[#This Row],[R27]]+COUNTIF(TabSLS10[[R1]:[R37]],TabSLS10[[#This Row],[R27]])-1&lt;=Sitze_Ausschuss,"SITZ","PATT"),"")</f>
        <v/>
      </c>
      <c r="BZ11" s="45" t="str">
        <f>IF(TabSLS10[[#This Row],[R29]]&lt;=Sitze_Ausschuss,IF(TabSLS10[[#This Row],[R29]]+COUNTIF(TabSLS10[[R1]:[R37]],TabSLS10[[#This Row],[R29]])-1&lt;=Sitze_Ausschuss,"SITZ","PATT"),"")</f>
        <v/>
      </c>
      <c r="CA11" s="45" t="str">
        <f>IF(TabSLS10[[#This Row],[R31]]&lt;=Sitze_Ausschuss,IF(TabSLS10[[#This Row],[R31]]+COUNTIF(TabSLS10[[R1]:[R37]],TabSLS10[[#This Row],[R31]])-1&lt;=Sitze_Ausschuss,"SITZ","PATT"),"")</f>
        <v/>
      </c>
      <c r="CB11" s="45" t="str">
        <f>IF(TabSLS10[[#This Row],[R33]]&lt;=Sitze_Ausschuss,IF(TabSLS10[[#This Row],[R33]]+COUNTIF(TabSLS10[[R1]:[R37]],TabSLS10[[#This Row],[R33]])-1&lt;=Sitze_Ausschuss,"SITZ","PATT"),"")</f>
        <v/>
      </c>
      <c r="CC11" s="45" t="str">
        <f>IF(TabSLS10[[#This Row],[R35]]&lt;=Sitze_Ausschuss,IF(TabSLS10[[#This Row],[R35]]+COUNTIF(TabSLS10[[R1]:[R37]],TabSLS10[[#This Row],[R35]])-1&lt;=Sitze_Ausschuss,"SITZ","PATT"),"")</f>
        <v/>
      </c>
      <c r="CD11" s="46" t="str">
        <f>IF(TabSLS10[[#This Row],[R37]]&lt;=Sitze_Ausschuss,IF(TabSLS10[[#This Row],[R37]]+COUNTIF(TabSLS10[[R1]:[R37]],TabSLS10[[#This Row],[R37]])-1&lt;=Sitze_Ausschuss,"SITZ","PATT"),"")</f>
        <v/>
      </c>
      <c r="CE11" s="47" t="b">
        <f>COUNTIF(TabSLS10[[#This Row],[SP1]:[SP37]],"PATT")&gt;0</f>
        <v>0</v>
      </c>
      <c r="CF11" s="33">
        <f>IF(TabSLS10[[#This Row],[Patt?]],(Sitze_Ausschuss-SUM(TabSLS10[Sitze]))/TabSLS10[[#Totals],[Patt?]],0)</f>
        <v>0</v>
      </c>
      <c r="CG11" s="48">
        <f>TabSLS10[[#This Row],[Patt?]]*IF(Pattaufloesung="Stimmen",TabPatt11[[#This Row],[Stimmen]],0)*1</f>
        <v>0</v>
      </c>
      <c r="CH11" s="49" t="b">
        <f>_xlfn.RANK.EQ(TabSLS10[[#This Row],[Stimmen Gelost]],TabSLS10[Stimmen Gelost],0)&lt;=(Sitze_Ausschuss-SUM(TabSLS10[Sitze]))</f>
        <v>0</v>
      </c>
      <c r="CI11" s="50" t="b">
        <f>OR(TabSLS10[[#This Row],[Sitze]]&lt;ROUNDDOWN(Grunddaten7[[#This Row],[Proporzgenaue Zahl Ausschuss]],0),TabSLS10[[#This Row],[Sitze]]+(TabSLS10[[#This Row],[Patt?]]*1)&gt;ROUNDUP(Grunddaten7[[#This Row],[Proporzgenaue Zahl Ausschuss]],0))</f>
        <v>0</v>
      </c>
      <c r="CJ11" s="3"/>
      <c r="CK11" s="36">
        <f>COUNTIF(TabDH12[[#This Row],[SP1]:[SP19]],"SITZ")</f>
        <v>0</v>
      </c>
      <c r="CL11" s="37">
        <f>IF(TabDH12[[#This Row],[Patt]],IF(Pattaufloesung="Los-Chance",TabDH12[[#This Row],[Los Chance]],TabDH12[[#This Row],[Pattgewinn]]+0),0)</f>
        <v>0.5</v>
      </c>
      <c r="CM11" s="38">
        <f>Grunddaten7[[#This Row],[Sitze im Hauptorgan]]/_xlfn.NUMBERVALUE(MID(INDEX(TabDH12[[#Headers],[:1]:[:19]],COLUMN()-COLUMN(TabDH12[[#Headers],[:1]])+1),2,3))</f>
        <v>4</v>
      </c>
      <c r="CN11" s="39">
        <f>Grunddaten7[[#This Row],[Sitze im Hauptorgan]]/_xlfn.NUMBERVALUE(MID(INDEX(TabDH12[[#Headers],[:1]:[:19]],COLUMN()-COLUMN(TabDH12[[#Headers],[:1]])+1),2,3))</f>
        <v>2</v>
      </c>
      <c r="CO11" s="39">
        <f>Grunddaten7[[#This Row],[Sitze im Hauptorgan]]/_xlfn.NUMBERVALUE(MID(INDEX(TabDH12[[#Headers],[:1]:[:19]],COLUMN()-COLUMN(TabDH12[[#Headers],[:1]])+1),2,3))</f>
        <v>1.3333333333333333</v>
      </c>
      <c r="CP11" s="39">
        <f>Grunddaten7[[#This Row],[Sitze im Hauptorgan]]/_xlfn.NUMBERVALUE(MID(INDEX(TabDH12[[#Headers],[:1]:[:19]],COLUMN()-COLUMN(TabDH12[[#Headers],[:1]])+1),2,3))</f>
        <v>1</v>
      </c>
      <c r="CQ11" s="39">
        <f>Grunddaten7[[#This Row],[Sitze im Hauptorgan]]/_xlfn.NUMBERVALUE(MID(INDEX(TabDH12[[#Headers],[:1]:[:19]],COLUMN()-COLUMN(TabDH12[[#Headers],[:1]])+1),2,3))</f>
        <v>0.8</v>
      </c>
      <c r="CR11" s="39">
        <f>Grunddaten7[[#This Row],[Sitze im Hauptorgan]]/_xlfn.NUMBERVALUE(MID(INDEX(TabDH12[[#Headers],[:1]:[:19]],COLUMN()-COLUMN(TabDH12[[#Headers],[:1]])+1),2,3))</f>
        <v>0.66666666666666663</v>
      </c>
      <c r="CS11" s="39">
        <f>Grunddaten7[[#This Row],[Sitze im Hauptorgan]]/_xlfn.NUMBERVALUE(MID(INDEX(TabDH12[[#Headers],[:1]:[:19]],COLUMN()-COLUMN(TabDH12[[#Headers],[:1]])+1),2,3))</f>
        <v>0.5714285714285714</v>
      </c>
      <c r="CT11" s="39">
        <f>Grunddaten7[[#This Row],[Sitze im Hauptorgan]]/_xlfn.NUMBERVALUE(MID(INDEX(TabDH12[[#Headers],[:1]:[:19]],COLUMN()-COLUMN(TabDH12[[#Headers],[:1]])+1),2,3))</f>
        <v>0.5</v>
      </c>
      <c r="CU11" s="39">
        <f>Grunddaten7[[#This Row],[Sitze im Hauptorgan]]/_xlfn.NUMBERVALUE(MID(INDEX(TabDH12[[#Headers],[:1]:[:19]],COLUMN()-COLUMN(TabDH12[[#Headers],[:1]])+1),2,3))</f>
        <v>0.44444444444444442</v>
      </c>
      <c r="CV11" s="39">
        <f>Grunddaten7[[#This Row],[Sitze im Hauptorgan]]/_xlfn.NUMBERVALUE(MID(INDEX(TabDH12[[#Headers],[:1]:[:19]],COLUMN()-COLUMN(TabDH12[[#Headers],[:1]])+1),2,3))</f>
        <v>0.4</v>
      </c>
      <c r="CW11" s="39">
        <f>Grunddaten7[[#This Row],[Sitze im Hauptorgan]]/_xlfn.NUMBERVALUE(MID(INDEX(TabDH12[[#Headers],[:1]:[:19]],COLUMN()-COLUMN(TabDH12[[#Headers],[:1]])+1),2,3))</f>
        <v>0.36363636363636365</v>
      </c>
      <c r="CX11" s="39">
        <f>Grunddaten7[[#This Row],[Sitze im Hauptorgan]]/_xlfn.NUMBERVALUE(MID(INDEX(TabDH12[[#Headers],[:1]:[:19]],COLUMN()-COLUMN(TabDH12[[#Headers],[:1]])+1),2,3))</f>
        <v>0.33333333333333331</v>
      </c>
      <c r="CY11" s="39">
        <f>Grunddaten7[[#This Row],[Sitze im Hauptorgan]]/_xlfn.NUMBERVALUE(MID(INDEX(TabDH12[[#Headers],[:1]:[:19]],COLUMN()-COLUMN(TabDH12[[#Headers],[:1]])+1),2,3))</f>
        <v>0.30769230769230771</v>
      </c>
      <c r="CZ11" s="39">
        <f>Grunddaten7[[#This Row],[Sitze im Hauptorgan]]/_xlfn.NUMBERVALUE(MID(INDEX(TabDH12[[#Headers],[:1]:[:19]],COLUMN()-COLUMN(TabDH12[[#Headers],[:1]])+1),2,3))</f>
        <v>0.2857142857142857</v>
      </c>
      <c r="DA11" s="39">
        <f>Grunddaten7[[#This Row],[Sitze im Hauptorgan]]/_xlfn.NUMBERVALUE(MID(INDEX(TabDH12[[#Headers],[:1]:[:19]],COLUMN()-COLUMN(TabDH12[[#Headers],[:1]])+1),2,3))</f>
        <v>0.26666666666666666</v>
      </c>
      <c r="DB11" s="39">
        <f>Grunddaten7[[#This Row],[Sitze im Hauptorgan]]/_xlfn.NUMBERVALUE(MID(INDEX(TabDH12[[#Headers],[:1]:[:19]],COLUMN()-COLUMN(TabDH12[[#Headers],[:1]])+1),2,3))</f>
        <v>0.25</v>
      </c>
      <c r="DC11" s="39">
        <f>Grunddaten7[[#This Row],[Sitze im Hauptorgan]]/_xlfn.NUMBERVALUE(MID(INDEX(TabDH12[[#Headers],[:1]:[:19]],COLUMN()-COLUMN(TabDH12[[#Headers],[:1]])+1),2,3))</f>
        <v>0.23529411764705882</v>
      </c>
      <c r="DD11" s="39">
        <f>Grunddaten7[[#This Row],[Sitze im Hauptorgan]]/_xlfn.NUMBERVALUE(MID(INDEX(TabDH12[[#Headers],[:1]:[:19]],COLUMN()-COLUMN(TabDH12[[#Headers],[:1]])+1),2,3))</f>
        <v>0.22222222222222221</v>
      </c>
      <c r="DE11" s="40">
        <f>Grunddaten7[[#This Row],[Sitze im Hauptorgan]]/_xlfn.NUMBERVALUE(MID(INDEX(TabDH12[[#Headers],[:1]:[:19]],COLUMN()-COLUMN(TabDH12[[#Headers],[:1]])+1),2,3))</f>
        <v>0.21052631578947367</v>
      </c>
      <c r="DF11" s="41">
        <f>_xlfn.RANK.EQ(TabDH12[[#This Row],[:1]],TabDH12[[:1]:[:19]],0)</f>
        <v>13</v>
      </c>
      <c r="DG11" s="42">
        <f>_xlfn.RANK.EQ(TabDH12[[#This Row],[:2]],TabDH12[[:1]:[:19]],0)</f>
        <v>30</v>
      </c>
      <c r="DH11" s="42">
        <f>_xlfn.RANK.EQ(TabDH12[[#This Row],[:3]],TabDH12[[:1]:[:19]],0)</f>
        <v>48</v>
      </c>
      <c r="DI11" s="42">
        <f>_xlfn.RANK.EQ(TabDH12[[#This Row],[:4]],TabDH12[[:1]:[:19]],0)</f>
        <v>64</v>
      </c>
      <c r="DJ11" s="42">
        <f>_xlfn.RANK.EQ(TabDH12[[#This Row],[:5]],TabDH12[[:1]:[:19]],0)</f>
        <v>78</v>
      </c>
      <c r="DK11" s="42">
        <f>_xlfn.RANK.EQ(TabDH12[[#This Row],[:6]],TabDH12[[:1]:[:19]],0)</f>
        <v>86</v>
      </c>
      <c r="DL11" s="42">
        <f>_xlfn.RANK.EQ(TabDH12[[#This Row],[:7]],TabDH12[[:1]:[:19]],0)</f>
        <v>95</v>
      </c>
      <c r="DM11" s="42">
        <f>_xlfn.RANK.EQ(TabDH12[[#This Row],[:8]],TabDH12[[:1]:[:19]],0)</f>
        <v>102</v>
      </c>
      <c r="DN11" s="42">
        <f>_xlfn.RANK.EQ(TabDH12[[#This Row],[:9]],TabDH12[[:1]:[:19]],0)</f>
        <v>109</v>
      </c>
      <c r="DO11" s="42">
        <f>_xlfn.RANK.EQ(TabDH12[[#This Row],[:10]],TabDH12[[:1]:[:19]],0)</f>
        <v>115</v>
      </c>
      <c r="DP11" s="42">
        <f>_xlfn.RANK.EQ(TabDH12[[#This Row],[:11]],TabDH12[[:1]:[:19]],0)</f>
        <v>119</v>
      </c>
      <c r="DQ11" s="42">
        <f>_xlfn.RANK.EQ(TabDH12[[#This Row],[:12]],TabDH12[[:1]:[:19]],0)</f>
        <v>121</v>
      </c>
      <c r="DR11" s="42">
        <f>_xlfn.RANK.EQ(TabDH12[[#This Row],[:13]],TabDH12[[:1]:[:19]],0)</f>
        <v>124</v>
      </c>
      <c r="DS11" s="42">
        <f>_xlfn.RANK.EQ(TabDH12[[#This Row],[:14]],TabDH12[[:1]:[:19]],0)</f>
        <v>126</v>
      </c>
      <c r="DT11" s="42">
        <f>_xlfn.RANK.EQ(TabDH12[[#This Row],[:15]],TabDH12[[:1]:[:19]],0)</f>
        <v>128</v>
      </c>
      <c r="DU11" s="42">
        <f>_xlfn.RANK.EQ(TabDH12[[#This Row],[:16]],TabDH12[[:1]:[:19]],0)</f>
        <v>130</v>
      </c>
      <c r="DV11" s="42">
        <f>_xlfn.RANK.EQ(TabDH12[[#This Row],[:17]],TabDH12[[:1]:[:19]],0)</f>
        <v>131</v>
      </c>
      <c r="DW11" s="42">
        <f>_xlfn.RANK.EQ(TabDH12[[#This Row],[:18]],TabDH12[[:1]:[:19]],0)</f>
        <v>132</v>
      </c>
      <c r="DX11" s="43">
        <f>_xlfn.RANK.EQ(TabDH12[[#This Row],[:19]],TabDH12[[:1]:[:19]],0)</f>
        <v>133</v>
      </c>
      <c r="DY11" s="44" t="str">
        <f>IF(TabDH12[[#This Row],[R1]]&lt;=Sitze_Ausschuss,IF(TabDH12[[#This Row],[R1]]+COUNTIF(TabDH12[[R1]:[R19]],TabDH12[[#This Row],[R1]])-1&lt;=Sitze_Ausschuss,"SITZ","PATT"),"")</f>
        <v>PATT</v>
      </c>
      <c r="DZ11" s="45" t="str">
        <f>IF(TabDH12[[#This Row],[R2]]&lt;=Sitze_Ausschuss,IF(TabDH12[[#This Row],[R2]]+COUNTIF(TabDH12[[R1]:[R19]],TabDH12[[#This Row],[R2]])-1&lt;=Sitze_Ausschuss,"SITZ","PATT"),"")</f>
        <v/>
      </c>
      <c r="EA11" s="45" t="str">
        <f>IF(TabDH12[[#This Row],[R3]]&lt;=Sitze_Ausschuss,IF(TabDH12[[#This Row],[R3]]+COUNTIF(TabDH12[[R1]:[R19]],TabDH12[[#This Row],[R3]])-1&lt;=Sitze_Ausschuss,"SITZ","PATT"),"")</f>
        <v/>
      </c>
      <c r="EB11" s="45" t="str">
        <f>IF(TabDH12[[#This Row],[R4]]&lt;=Sitze_Ausschuss,IF(TabDH12[[#This Row],[R4]]+COUNTIF(TabDH12[[R1]:[R19]],TabDH12[[#This Row],[R4]])-1&lt;=Sitze_Ausschuss,"SITZ","PATT"),"")</f>
        <v/>
      </c>
      <c r="EC11" s="45" t="str">
        <f>IF(TabDH12[[#This Row],[R5]]&lt;=Sitze_Ausschuss,IF(TabDH12[[#This Row],[R5]]+COUNTIF(TabDH12[[R1]:[R19]],TabDH12[[#This Row],[R5]])-1&lt;=Sitze_Ausschuss,"SITZ","PATT"),"")</f>
        <v/>
      </c>
      <c r="ED11" s="45" t="str">
        <f>IF(TabDH12[[#This Row],[R6]]&lt;=Sitze_Ausschuss,IF(TabDH12[[#This Row],[R6]]+COUNTIF(TabDH12[[R1]:[R19]],TabDH12[[#This Row],[R6]])-1&lt;=Sitze_Ausschuss,"SITZ","PATT"),"")</f>
        <v/>
      </c>
      <c r="EE11" s="45" t="str">
        <f>IF(TabDH12[[#This Row],[R7]]&lt;=Sitze_Ausschuss,IF(TabDH12[[#This Row],[R7]]+COUNTIF(TabDH12[[R1]:[R19]],TabDH12[[#This Row],[R7]])-1&lt;=Sitze_Ausschuss,"SITZ","PATT"),"")</f>
        <v/>
      </c>
      <c r="EF11" s="45" t="str">
        <f>IF(TabDH12[[#This Row],[R8]]&lt;=Sitze_Ausschuss,IF(TabDH12[[#This Row],[R8]]+COUNTIF(TabDH12[[R1]:[R19]],TabDH12[[#This Row],[R8]])-1&lt;=Sitze_Ausschuss,"SITZ","PATT"),"")</f>
        <v/>
      </c>
      <c r="EG11" s="45" t="str">
        <f>IF(TabDH12[[#This Row],[R9]]&lt;=Sitze_Ausschuss,IF(TabDH12[[#This Row],[R9]]+COUNTIF(TabDH12[[R1]:[R19]],TabDH12[[#This Row],[R9]])-1&lt;=Sitze_Ausschuss,"SITZ","PATT"),"")</f>
        <v/>
      </c>
      <c r="EH11" s="45" t="str">
        <f>IF(TabDH12[[#This Row],[R10]]&lt;=Sitze_Ausschuss,IF(TabDH12[[#This Row],[R10]]+COUNTIF(TabDH12[[R1]:[R19]],TabDH12[[#This Row],[R10]])-1&lt;=Sitze_Ausschuss,"SITZ","PATT"),"")</f>
        <v/>
      </c>
      <c r="EI11" s="45" t="str">
        <f>IF(TabDH12[[#This Row],[R11]]&lt;=Sitze_Ausschuss,IF(TabDH12[[#This Row],[R11]]+COUNTIF(TabDH12[[R1]:[R19]],TabDH12[[#This Row],[R11]])-1&lt;=Sitze_Ausschuss,"SITZ","PATT"),"")</f>
        <v/>
      </c>
      <c r="EJ11" s="45" t="str">
        <f>IF(TabDH12[[#This Row],[R12]]&lt;=Sitze_Ausschuss,IF(TabDH12[[#This Row],[R12]]+COUNTIF(TabDH12[[R1]:[R19]],TabDH12[[#This Row],[R12]])-1&lt;=Sitze_Ausschuss,"SITZ","PATT"),"")</f>
        <v/>
      </c>
      <c r="EK11" s="45" t="str">
        <f>IF(TabDH12[[#This Row],[R13]]&lt;=Sitze_Ausschuss,IF(TabDH12[[#This Row],[R13]]+COUNTIF(TabDH12[[R1]:[R19]],TabDH12[[#This Row],[R13]])-1&lt;=Sitze_Ausschuss,"SITZ","PATT"),"")</f>
        <v/>
      </c>
      <c r="EL11" s="45" t="str">
        <f>IF(TabDH12[[#This Row],[R14]]&lt;=Sitze_Ausschuss,IF(TabDH12[[#This Row],[R14]]+COUNTIF(TabDH12[[R1]:[R19]],TabDH12[[#This Row],[R14]])-1&lt;=Sitze_Ausschuss,"SITZ","PATT"),"")</f>
        <v/>
      </c>
      <c r="EM11" s="45" t="str">
        <f>IF(TabDH12[[#This Row],[R15]]&lt;=Sitze_Ausschuss,IF(TabDH12[[#This Row],[R15]]+COUNTIF(TabDH12[[R1]:[R19]],TabDH12[[#This Row],[R15]])-1&lt;=Sitze_Ausschuss,"SITZ","PATT"),"")</f>
        <v/>
      </c>
      <c r="EN11" s="45" t="str">
        <f>IF(TabDH12[[#This Row],[R16]]&lt;=Sitze_Ausschuss,IF(TabDH12[[#This Row],[R16]]+COUNTIF(TabDH12[[R1]:[R19]],TabDH12[[#This Row],[R16]])-1&lt;=Sitze_Ausschuss,"SITZ","PATT"),"")</f>
        <v/>
      </c>
      <c r="EO11" s="45" t="str">
        <f>IF(TabDH12[[#This Row],[R17]]&lt;=Sitze_Ausschuss,IF(TabDH12[[#This Row],[R17]]+COUNTIF(TabDH12[[R1]:[R19]],TabDH12[[#This Row],[R17]])-1&lt;=Sitze_Ausschuss,"SITZ","PATT"),"")</f>
        <v/>
      </c>
      <c r="EP11" s="45" t="str">
        <f>IF(TabDH12[[#This Row],[R18]]&lt;=Sitze_Ausschuss,IF(TabDH12[[#This Row],[R18]]+COUNTIF(TabDH12[[R1]:[R19]],TabDH12[[#This Row],[R18]])-1&lt;=Sitze_Ausschuss,"SITZ","PATT"),"")</f>
        <v/>
      </c>
      <c r="EQ11" s="45" t="str">
        <f>IF(TabDH12[[#This Row],[R19]]&lt;=Sitze_Ausschuss,IF(TabDH12[[#This Row],[R19]]+COUNTIF(TabDH12[[R1]:[R19]],TabDH12[[#This Row],[R19]])-1&lt;=Sitze_Ausschuss,"SITZ","PATT"),"")</f>
        <v/>
      </c>
      <c r="ER11" s="47" t="b">
        <f>COUNTIF(TabDH12[[#This Row],[SP1]:[SP19]],"PATT")&gt;0</f>
        <v>1</v>
      </c>
      <c r="ES11" s="33">
        <f>IF(TabDH12[[#This Row],[Patt]],(Sitze_Ausschuss-SUM(TabDH12[Sitze]))/TabDH12[[#Totals],[Patt]],0)</f>
        <v>0.5</v>
      </c>
      <c r="ET11" s="48">
        <f>TabDH12[[#This Row],[Patt]]*IF(Pattaufloesung="Stimmen",TabPatt11[[#This Row],[Stimmen]],0)*1</f>
        <v>0</v>
      </c>
      <c r="EU11" s="49" t="b">
        <f>_xlfn.RANK.EQ(TabDH12[[#This Row],[Stimmen/Gelost]],TabDH12[Stimmen/Gelost],0)&lt;=(Sitze_Ausschuss-SUM(TabDH12[Sitze]))</f>
        <v>1</v>
      </c>
      <c r="EV11" s="50" t="b">
        <f>OR(TabDH12[[#This Row],[Sitze]]&lt;ROUNDDOWN(Grunddaten7[[#This Row],[Proporzgenaue Zahl Ausschuss]],0),TabDH12[[#This Row],[Sitze]]+(TabDH12[[#This Row],[Patt]]*1)&gt;ROUNDUP(Grunddaten7[[#This Row],[Proporzgenaue Zahl Ausschuss]],0))</f>
        <v>0</v>
      </c>
      <c r="EW11" s="3"/>
      <c r="EX11" s="51" t="str">
        <f>Grunddaten7[[#This Row],[Partei/Wählergruppe]]&amp;""</f>
        <v>AfD</v>
      </c>
      <c r="EY11" s="51">
        <f t="shared" si="6"/>
        <v>2345</v>
      </c>
      <c r="EZ11" s="3"/>
      <c r="FA11" s="3"/>
      <c r="FB11" s="3"/>
      <c r="FC11" s="3"/>
      <c r="FD11" s="3"/>
    </row>
    <row r="12" spans="1:166" x14ac:dyDescent="0.25">
      <c r="A12" s="3"/>
      <c r="B12" s="89" t="str">
        <f t="shared" si="0"/>
        <v>AG1 [ÖDP FRA Tie]</v>
      </c>
      <c r="C12" s="91">
        <f t="shared" si="1"/>
        <v>5</v>
      </c>
      <c r="D12" s="168">
        <f>Grunddaten7[[#This Row],[Sitze im Hauptorgan]]/Grunddaten7[[#Totals],[Sitze im Hauptorgan]]*Sitze_Ausschuss</f>
        <v>1</v>
      </c>
      <c r="E12" s="159">
        <f>IF(ROUNDDOWN(Grunddaten7[[#This Row],[Proporzgenaue Zahl Ausschuss]],0)&lt;&gt;ROUNDUP(Grunddaten7[[#This Row],[Proporzgenaue Zahl Ausschuss]],0), ROUNDDOWN(Grunddaten7[[#This Row],[Proporzgenaue Zahl Ausschuss]],0)&amp;" oder "&amp;ROUNDUP(Grunddaten7[[#This Row],[Proporzgenaue Zahl Ausschuss]],0),ROUND(Grunddaten7[[#This Row],[Proporzgenaue Zahl Ausschuss]],0))</f>
        <v>1</v>
      </c>
      <c r="F12" s="52" t="str">
        <f t="shared" si="2"/>
        <v>OK</v>
      </c>
      <c r="G12" s="52" t="str">
        <f>IF(TabSLS10[[#This Row],[QK verletzt]],"NOK","OK")</f>
        <v>OK</v>
      </c>
      <c r="H12" s="53" t="str">
        <f>IF(TabDH12[[#This Row],[QK verletzt]],"NOK","OK")</f>
        <v>OK</v>
      </c>
      <c r="I12" s="163">
        <f t="shared" si="3"/>
        <v>0</v>
      </c>
      <c r="J12" s="163">
        <f t="shared" si="4"/>
        <v>0</v>
      </c>
      <c r="K12" s="163">
        <f t="shared" si="5"/>
        <v>0</v>
      </c>
      <c r="L12" s="3"/>
      <c r="M12" s="92">
        <f>TabHN9[[#This Row],[S ganz]]+IF(NOT(TabHN9[[#This Row],[Patt]]),TabHN9[[#This Row],[Restsitz]],0)</f>
        <v>1</v>
      </c>
      <c r="N12" s="162">
        <f>IF(TabHN9[[#This Row],[Patt]],IF(Pattaufloesung="Los-Chance",TabHN9[[#This Row],[Los Chance]],TabHN9[[#This Row],[Pattgewinn]]+0),0)</f>
        <v>0</v>
      </c>
      <c r="O12" s="30">
        <f>INT(Grunddaten7[[#This Row],[Proporzgenaue Zahl Ausschuss]])</f>
        <v>1</v>
      </c>
      <c r="P12" s="31">
        <f>ROUND(Grunddaten7[[#This Row],[Proporzgenaue Zahl Ausschuss]]-TabHN9[[#This Row],[S ganz]],4)</f>
        <v>0</v>
      </c>
      <c r="Q12" s="32">
        <f>_xlfn.RANK.EQ(TabHN9[[#This Row],[S Rest]],TabHN9[S Rest],0)</f>
        <v>5</v>
      </c>
      <c r="R12" s="30">
        <f>IF(TabHN9[[#This Row],[Rng Rest]]&lt;=TabHN9[[#Totals],[S Rest]],1,0)</f>
        <v>0</v>
      </c>
      <c r="S12" s="30" t="b">
        <f>AND(TabHN9[[#This Row],[Restsitz]]=1,(COUNTIF(TabHN9[Rng Rest],TabHN9[[#This Row],[Rng Rest]])+TabHN9[[#This Row],[Rng Rest]]-1)&gt;TabHN9[[#Totals],[S Rest]])</f>
        <v>0</v>
      </c>
      <c r="T12" s="33">
        <f>IF(TabHN9[[#This Row],[Patt]],(Sitze_Ausschuss-SUM(TabHN9[Sitze]))/TabHN9[[#Totals],[Patt]],0)</f>
        <v>0</v>
      </c>
      <c r="U12" s="34">
        <f>TabHN9[[#This Row],[Patt]]*IF(Pattaufloesung="Stimmen",TabPatt11[[#This Row],[Stimmen]],0)*1</f>
        <v>0</v>
      </c>
      <c r="V12" s="35" t="b">
        <f>_xlfn.RANK.EQ(TabHN9[[#This Row],[Stimmen/Gelost]],TabHN9[Stimmen/Gelost],0)&lt;=(Sitze_Ausschuss-SUM(TabHN9[Sitze]))</f>
        <v>0</v>
      </c>
      <c r="W12" s="3"/>
      <c r="X12" s="36">
        <f>COUNTIF(TabSLS10[[#This Row],[SP1]:[SP37]],"SITZ")</f>
        <v>1</v>
      </c>
      <c r="Y12" s="37">
        <f>IF(TabSLS10[[#This Row],[Patt?]],IF(Pattaufloesung="Los-Chance",TabSLS10[[#This Row],[Los Chance]],TabSLS10[[#This Row],[Pattgewinn]]+0),0)</f>
        <v>0</v>
      </c>
      <c r="Z12" s="38">
        <f>Grunddaten7[[#This Row],[Sitze im Hauptorgan]]/_xlfn.NUMBERVALUE(MID(INDEX(TabSLS10[[#Headers],[:1]:[:37]],COLUMN()-COLUMN(TabSLS10[[#Headers],[:1]])+1),2,3))</f>
        <v>5</v>
      </c>
      <c r="AA12" s="39">
        <f>Grunddaten7[[#This Row],[Sitze im Hauptorgan]]/_xlfn.NUMBERVALUE(MID(INDEX(TabSLS10[[#Headers],[:1]:[:37]],COLUMN()-COLUMN(TabSLS10[[#Headers],[:1]])+1),2,3))</f>
        <v>1.6666666666666667</v>
      </c>
      <c r="AB12" s="39">
        <f>Grunddaten7[[#This Row],[Sitze im Hauptorgan]]/_xlfn.NUMBERVALUE(MID(INDEX(TabSLS10[[#Headers],[:1]:[:37]],COLUMN()-COLUMN(TabSLS10[[#Headers],[:1]])+1),2,3))</f>
        <v>1</v>
      </c>
      <c r="AC12" s="39">
        <f>Grunddaten7[[#This Row],[Sitze im Hauptorgan]]/_xlfn.NUMBERVALUE(MID(INDEX(TabSLS10[[#Headers],[:1]:[:37]],COLUMN()-COLUMN(TabSLS10[[#Headers],[:1]])+1),2,3))</f>
        <v>0.7142857142857143</v>
      </c>
      <c r="AD12" s="39">
        <f>Grunddaten7[[#This Row],[Sitze im Hauptorgan]]/_xlfn.NUMBERVALUE(MID(INDEX(TabSLS10[[#Headers],[:1]:[:37]],COLUMN()-COLUMN(TabSLS10[[#Headers],[:1]])+1),2,3))</f>
        <v>0.55555555555555558</v>
      </c>
      <c r="AE12" s="39">
        <f>Grunddaten7[[#This Row],[Sitze im Hauptorgan]]/_xlfn.NUMBERVALUE(MID(INDEX(TabSLS10[[#Headers],[:1]:[:37]],COLUMN()-COLUMN(TabSLS10[[#Headers],[:1]])+1),2,3))</f>
        <v>0.45454545454545453</v>
      </c>
      <c r="AF12" s="39">
        <f>Grunddaten7[[#This Row],[Sitze im Hauptorgan]]/_xlfn.NUMBERVALUE(MID(INDEX(TabSLS10[[#Headers],[:1]:[:37]],COLUMN()-COLUMN(TabSLS10[[#Headers],[:1]])+1),2,3))</f>
        <v>0.38461538461538464</v>
      </c>
      <c r="AG12" s="39">
        <f>Grunddaten7[[#This Row],[Sitze im Hauptorgan]]/_xlfn.NUMBERVALUE(MID(INDEX(TabSLS10[[#Headers],[:1]:[:37]],COLUMN()-COLUMN(TabSLS10[[#Headers],[:1]])+1),2,3))</f>
        <v>0.33333333333333331</v>
      </c>
      <c r="AH12" s="39">
        <f>Grunddaten7[[#This Row],[Sitze im Hauptorgan]]/_xlfn.NUMBERVALUE(MID(INDEX(TabSLS10[[#Headers],[:1]:[:37]],COLUMN()-COLUMN(TabSLS10[[#Headers],[:1]])+1),2,3))</f>
        <v>0.29411764705882354</v>
      </c>
      <c r="AI12" s="39">
        <f>Grunddaten7[[#This Row],[Sitze im Hauptorgan]]/_xlfn.NUMBERVALUE(MID(INDEX(TabSLS10[[#Headers],[:1]:[:37]],COLUMN()-COLUMN(TabSLS10[[#Headers],[:1]])+1),2,3))</f>
        <v>0.26315789473684209</v>
      </c>
      <c r="AJ12" s="39">
        <f>Grunddaten7[[#This Row],[Sitze im Hauptorgan]]/_xlfn.NUMBERVALUE(MID(INDEX(TabSLS10[[#Headers],[:1]:[:37]],COLUMN()-COLUMN(TabSLS10[[#Headers],[:1]])+1),2,3))</f>
        <v>0.23809523809523808</v>
      </c>
      <c r="AK12" s="39">
        <f>Grunddaten7[[#This Row],[Sitze im Hauptorgan]]/_xlfn.NUMBERVALUE(MID(INDEX(TabSLS10[[#Headers],[:1]:[:37]],COLUMN()-COLUMN(TabSLS10[[#Headers],[:1]])+1),2,3))</f>
        <v>0.21739130434782608</v>
      </c>
      <c r="AL12" s="39">
        <f>Grunddaten7[[#This Row],[Sitze im Hauptorgan]]/_xlfn.NUMBERVALUE(MID(INDEX(TabSLS10[[#Headers],[:1]:[:37]],COLUMN()-COLUMN(TabSLS10[[#Headers],[:1]])+1),2,3))</f>
        <v>0.2</v>
      </c>
      <c r="AM12" s="39">
        <f>Grunddaten7[[#This Row],[Sitze im Hauptorgan]]/_xlfn.NUMBERVALUE(MID(INDEX(TabSLS10[[#Headers],[:1]:[:37]],COLUMN()-COLUMN(TabSLS10[[#Headers],[:1]])+1),2,3))</f>
        <v>0.18518518518518517</v>
      </c>
      <c r="AN12" s="39">
        <f>Grunddaten7[[#This Row],[Sitze im Hauptorgan]]/_xlfn.NUMBERVALUE(MID(INDEX(TabSLS10[[#Headers],[:1]:[:37]],COLUMN()-COLUMN(TabSLS10[[#Headers],[:1]])+1),2,3))</f>
        <v>0.17241379310344829</v>
      </c>
      <c r="AO12" s="39">
        <f>Grunddaten7[[#This Row],[Sitze im Hauptorgan]]/_xlfn.NUMBERVALUE(MID(INDEX(TabSLS10[[#Headers],[:1]:[:37]],COLUMN()-COLUMN(TabSLS10[[#Headers],[:1]])+1),2,3))</f>
        <v>0.16129032258064516</v>
      </c>
      <c r="AP12" s="39">
        <f>Grunddaten7[[#This Row],[Sitze im Hauptorgan]]/_xlfn.NUMBERVALUE(MID(INDEX(TabSLS10[[#Headers],[:1]:[:37]],COLUMN()-COLUMN(TabSLS10[[#Headers],[:1]])+1),2,3))</f>
        <v>0.15151515151515152</v>
      </c>
      <c r="AQ12" s="39">
        <f>Grunddaten7[[#This Row],[Sitze im Hauptorgan]]/_xlfn.NUMBERVALUE(MID(INDEX(TabSLS10[[#Headers],[:1]:[:37]],COLUMN()-COLUMN(TabSLS10[[#Headers],[:1]])+1),2,3))</f>
        <v>0.14285714285714285</v>
      </c>
      <c r="AR12" s="40">
        <f>Grunddaten7[[#This Row],[Sitze im Hauptorgan]]/_xlfn.NUMBERVALUE(MID(INDEX(TabSLS10[[#Headers],[:1]:[:37]],COLUMN()-COLUMN(TabSLS10[[#Headers],[:1]])+1),2,3))</f>
        <v>0.13513513513513514</v>
      </c>
      <c r="AS12" s="41">
        <f>_xlfn.RANK.EQ(TabSLS10[[#This Row],[:1]],TabSLS10[[:1]:[:37]],0)</f>
        <v>8</v>
      </c>
      <c r="AT12" s="42">
        <f>_xlfn.RANK.EQ(TabSLS10[[#This Row],[:3]],TabSLS10[[:1]:[:37]],0)</f>
        <v>21</v>
      </c>
      <c r="AU12" s="42">
        <f>_xlfn.RANK.EQ(TabSLS10[[#This Row],[:5]],TabSLS10[[:1]:[:37]],0)</f>
        <v>35</v>
      </c>
      <c r="AV12" s="42">
        <f>_xlfn.RANK.EQ(TabSLS10[[#This Row],[:7]],TabSLS10[[:1]:[:37]],0)</f>
        <v>50</v>
      </c>
      <c r="AW12" s="42">
        <f>_xlfn.RANK.EQ(TabSLS10[[#This Row],[:9]],TabSLS10[[:1]:[:37]],0)</f>
        <v>63</v>
      </c>
      <c r="AX12" s="42">
        <f>_xlfn.RANK.EQ(TabSLS10[[#This Row],[:11]],TabSLS10[[:1]:[:37]],0)</f>
        <v>75</v>
      </c>
      <c r="AY12" s="42">
        <f>_xlfn.RANK.EQ(TabSLS10[[#This Row],[:13]],TabSLS10[[:1]:[:37]],0)</f>
        <v>82</v>
      </c>
      <c r="AZ12" s="42">
        <f>_xlfn.RANK.EQ(TabSLS10[[#This Row],[:15]],TabSLS10[[:1]:[:37]],0)</f>
        <v>89</v>
      </c>
      <c r="BA12" s="42">
        <f>_xlfn.RANK.EQ(TabSLS10[[#This Row],[:17]],TabSLS10[[:1]:[:37]],0)</f>
        <v>97</v>
      </c>
      <c r="BB12" s="42">
        <f>_xlfn.RANK.EQ(TabSLS10[[#This Row],[:19]],TabSLS10[[:1]:[:37]],0)</f>
        <v>103</v>
      </c>
      <c r="BC12" s="42">
        <f>_xlfn.RANK.EQ(TabSLS10[[#This Row],[:21]],TabSLS10[[:1]:[:37]],0)</f>
        <v>108</v>
      </c>
      <c r="BD12" s="42">
        <f>_xlfn.RANK.EQ(TabSLS10[[#This Row],[:23]],TabSLS10[[:1]:[:37]],0)</f>
        <v>112</v>
      </c>
      <c r="BE12" s="42">
        <f>_xlfn.RANK.EQ(TabSLS10[[#This Row],[:25]],TabSLS10[[:1]:[:37]],0)</f>
        <v>116</v>
      </c>
      <c r="BF12" s="42">
        <f>_xlfn.RANK.EQ(TabSLS10[[#This Row],[:27]],TabSLS10[[:1]:[:37]],0)</f>
        <v>120</v>
      </c>
      <c r="BG12" s="42">
        <f>_xlfn.RANK.EQ(TabSLS10[[#This Row],[:29]],TabSLS10[[:1]:[:37]],0)</f>
        <v>122</v>
      </c>
      <c r="BH12" s="42">
        <f>_xlfn.RANK.EQ(TabSLS10[[#This Row],[:31]],TabSLS10[[:1]:[:37]],0)</f>
        <v>123</v>
      </c>
      <c r="BI12" s="42">
        <f>_xlfn.RANK.EQ(TabSLS10[[#This Row],[:33]],TabSLS10[[:1]:[:37]],0)</f>
        <v>125</v>
      </c>
      <c r="BJ12" s="42">
        <f>_xlfn.RANK.EQ(TabSLS10[[#This Row],[:35]],TabSLS10[[:1]:[:37]],0)</f>
        <v>127</v>
      </c>
      <c r="BK12" s="43">
        <f>_xlfn.RANK.EQ(TabSLS10[[#This Row],[:37]],TabSLS10[[:1]:[:37]],0)</f>
        <v>129</v>
      </c>
      <c r="BL12" s="44" t="str">
        <f>IF(TabSLS10[[#This Row],[R1]]&lt;=Sitze_Ausschuss,IF(TabSLS10[[#This Row],[R1]]+COUNTIF(TabSLS10[[R1]:[R37]],TabSLS10[[#This Row],[R1]])-1&lt;=Sitze_Ausschuss,"SITZ","PATT"),"")</f>
        <v>SITZ</v>
      </c>
      <c r="BM12" s="45" t="str">
        <f>IF(TabSLS10[[#This Row],[R3]]&lt;=Sitze_Ausschuss,IF(TabSLS10[[#This Row],[R3]]+COUNTIF(TabSLS10[[R1]:[R37]],TabSLS10[[#This Row],[R3]])-1&lt;=Sitze_Ausschuss,"SITZ","PATT"),"")</f>
        <v/>
      </c>
      <c r="BN12" s="45" t="str">
        <f>IF(TabSLS10[[#This Row],[R5]]&lt;=Sitze_Ausschuss,IF(TabSLS10[[#This Row],[R5]]+COUNTIF(TabSLS10[[R1]:[R37]],TabSLS10[[#This Row],[R5]])-1&lt;=Sitze_Ausschuss,"SITZ","PATT"),"")</f>
        <v/>
      </c>
      <c r="BO12" s="45" t="str">
        <f>IF(TabSLS10[[#This Row],[R7]]&lt;=Sitze_Ausschuss,IF(TabSLS10[[#This Row],[R7]]+COUNTIF(TabSLS10[[R1]:[R37]],TabSLS10[[#This Row],[R7]])-1&lt;=Sitze_Ausschuss,"SITZ","PATT"),"")</f>
        <v/>
      </c>
      <c r="BP12" s="45" t="str">
        <f>IF(TabSLS10[[#This Row],[R9]]&lt;=Sitze_Ausschuss,IF(TabSLS10[[#This Row],[R9]]+COUNTIF(TabSLS10[[R1]:[R37]],TabSLS10[[#This Row],[R9]])-1&lt;=Sitze_Ausschuss,"SITZ","PATT"),"")</f>
        <v/>
      </c>
      <c r="BQ12" s="45" t="str">
        <f>IF(TabSLS10[[#This Row],[R11]]&lt;=Sitze_Ausschuss,IF(TabSLS10[[#This Row],[R11]]+COUNTIF(TabSLS10[[R1]:[R37]],TabSLS10[[#This Row],[R11]])-1&lt;=Sitze_Ausschuss,"SITZ","PATT"),"")</f>
        <v/>
      </c>
      <c r="BR12" s="45" t="str">
        <f>IF(TabSLS10[[#This Row],[R13]]&lt;=Sitze_Ausschuss,IF(TabSLS10[[#This Row],[R13]]+COUNTIF(TabSLS10[[R1]:[R37]],TabSLS10[[#This Row],[R13]])-1&lt;=Sitze_Ausschuss,"SITZ","PATT"),"")</f>
        <v/>
      </c>
      <c r="BS12" s="45" t="str">
        <f>IF(TabSLS10[[#This Row],[R15]]&lt;=Sitze_Ausschuss,IF(TabSLS10[[#This Row],[R15]]+COUNTIF(TabSLS10[[R1]:[R37]],TabSLS10[[#This Row],[R15]])-1&lt;=Sitze_Ausschuss,"SITZ","PATT"),"")</f>
        <v/>
      </c>
      <c r="BT12" s="45" t="str">
        <f>IF(TabSLS10[[#This Row],[R17]]&lt;=Sitze_Ausschuss,IF(TabSLS10[[#This Row],[R17]]+COUNTIF(TabSLS10[[R1]:[R37]],TabSLS10[[#This Row],[R17]])-1&lt;=Sitze_Ausschuss,"SITZ","PATT"),"")</f>
        <v/>
      </c>
      <c r="BU12" s="45" t="str">
        <f>IF(TabSLS10[[#This Row],[R19]]&lt;=Sitze_Ausschuss,IF(TabSLS10[[#This Row],[R19]]+COUNTIF(TabSLS10[[R1]:[R37]],TabSLS10[[#This Row],[R19]])-1&lt;=Sitze_Ausschuss,"SITZ","PATT"),"")</f>
        <v/>
      </c>
      <c r="BV12" s="45" t="str">
        <f>IF(TabSLS10[[#This Row],[R21]]&lt;=Sitze_Ausschuss,IF(TabSLS10[[#This Row],[R21]]+COUNTIF(TabSLS10[[R1]:[R37]],TabSLS10[[#This Row],[R21]])-1&lt;=Sitze_Ausschuss,"SITZ","PATT"),"")</f>
        <v/>
      </c>
      <c r="BW12" s="45" t="str">
        <f>IF(TabSLS10[[#This Row],[R23]]&lt;=Sitze_Ausschuss,IF(TabSLS10[[#This Row],[R23]]+COUNTIF(TabSLS10[[R1]:[R37]],TabSLS10[[#This Row],[R23]])-1&lt;=Sitze_Ausschuss,"SITZ","PATT"),"")</f>
        <v/>
      </c>
      <c r="BX12" s="45" t="str">
        <f>IF(TabSLS10[[#This Row],[R25]]&lt;=Sitze_Ausschuss,IF(TabSLS10[[#This Row],[R25]]+COUNTIF(TabSLS10[[R1]:[R37]],TabSLS10[[#This Row],[R25]])-1&lt;=Sitze_Ausschuss,"SITZ","PATT"),"")</f>
        <v/>
      </c>
      <c r="BY12" s="45" t="str">
        <f>IF(TabSLS10[[#This Row],[R27]]&lt;=Sitze_Ausschuss,IF(TabSLS10[[#This Row],[R27]]+COUNTIF(TabSLS10[[R1]:[R37]],TabSLS10[[#This Row],[R27]])-1&lt;=Sitze_Ausschuss,"SITZ","PATT"),"")</f>
        <v/>
      </c>
      <c r="BZ12" s="45" t="str">
        <f>IF(TabSLS10[[#This Row],[R29]]&lt;=Sitze_Ausschuss,IF(TabSLS10[[#This Row],[R29]]+COUNTIF(TabSLS10[[R1]:[R37]],TabSLS10[[#This Row],[R29]])-1&lt;=Sitze_Ausschuss,"SITZ","PATT"),"")</f>
        <v/>
      </c>
      <c r="CA12" s="45" t="str">
        <f>IF(TabSLS10[[#This Row],[R31]]&lt;=Sitze_Ausschuss,IF(TabSLS10[[#This Row],[R31]]+COUNTIF(TabSLS10[[R1]:[R37]],TabSLS10[[#This Row],[R31]])-1&lt;=Sitze_Ausschuss,"SITZ","PATT"),"")</f>
        <v/>
      </c>
      <c r="CB12" s="45" t="str">
        <f>IF(TabSLS10[[#This Row],[R33]]&lt;=Sitze_Ausschuss,IF(TabSLS10[[#This Row],[R33]]+COUNTIF(TabSLS10[[R1]:[R37]],TabSLS10[[#This Row],[R33]])-1&lt;=Sitze_Ausschuss,"SITZ","PATT"),"")</f>
        <v/>
      </c>
      <c r="CC12" s="45" t="str">
        <f>IF(TabSLS10[[#This Row],[R35]]&lt;=Sitze_Ausschuss,IF(TabSLS10[[#This Row],[R35]]+COUNTIF(TabSLS10[[R1]:[R37]],TabSLS10[[#This Row],[R35]])-1&lt;=Sitze_Ausschuss,"SITZ","PATT"),"")</f>
        <v/>
      </c>
      <c r="CD12" s="46" t="str">
        <f>IF(TabSLS10[[#This Row],[R37]]&lt;=Sitze_Ausschuss,IF(TabSLS10[[#This Row],[R37]]+COUNTIF(TabSLS10[[R1]:[R37]],TabSLS10[[#This Row],[R37]])-1&lt;=Sitze_Ausschuss,"SITZ","PATT"),"")</f>
        <v/>
      </c>
      <c r="CE12" s="47" t="b">
        <f>COUNTIF(TabSLS10[[#This Row],[SP1]:[SP37]],"PATT")&gt;0</f>
        <v>0</v>
      </c>
      <c r="CF12" s="33">
        <f>IF(TabSLS10[[#This Row],[Patt?]],(Sitze_Ausschuss-SUM(TabSLS10[Sitze]))/TabSLS10[[#Totals],[Patt?]],0)</f>
        <v>0</v>
      </c>
      <c r="CG12" s="48">
        <f>TabSLS10[[#This Row],[Patt?]]*IF(Pattaufloesung="Stimmen",TabPatt11[[#This Row],[Stimmen]],0)*1</f>
        <v>0</v>
      </c>
      <c r="CH12" s="49" t="b">
        <f>_xlfn.RANK.EQ(TabSLS10[[#This Row],[Stimmen Gelost]],TabSLS10[Stimmen Gelost],0)&lt;=(Sitze_Ausschuss-SUM(TabSLS10[Sitze]))</f>
        <v>0</v>
      </c>
      <c r="CI12" s="50" t="b">
        <f>OR(TabSLS10[[#This Row],[Sitze]]&lt;ROUNDDOWN(Grunddaten7[[#This Row],[Proporzgenaue Zahl Ausschuss]],0),TabSLS10[[#This Row],[Sitze]]+(TabSLS10[[#This Row],[Patt?]]*1)&gt;ROUNDUP(Grunddaten7[[#This Row],[Proporzgenaue Zahl Ausschuss]],0))</f>
        <v>0</v>
      </c>
      <c r="CJ12" s="3"/>
      <c r="CK12" s="36">
        <f>COUNTIF(TabDH12[[#This Row],[SP1]:[SP19]],"SITZ")</f>
        <v>1</v>
      </c>
      <c r="CL12" s="37">
        <f>IF(TabDH12[[#This Row],[Patt]],IF(Pattaufloesung="Los-Chance",TabDH12[[#This Row],[Los Chance]],TabDH12[[#This Row],[Pattgewinn]]+0),0)</f>
        <v>0</v>
      </c>
      <c r="CM12" s="38">
        <f>Grunddaten7[[#This Row],[Sitze im Hauptorgan]]/_xlfn.NUMBERVALUE(MID(INDEX(TabDH12[[#Headers],[:1]:[:19]],COLUMN()-COLUMN(TabDH12[[#Headers],[:1]])+1),2,3))</f>
        <v>5</v>
      </c>
      <c r="CN12" s="39">
        <f>Grunddaten7[[#This Row],[Sitze im Hauptorgan]]/_xlfn.NUMBERVALUE(MID(INDEX(TabDH12[[#Headers],[:1]:[:19]],COLUMN()-COLUMN(TabDH12[[#Headers],[:1]])+1),2,3))</f>
        <v>2.5</v>
      </c>
      <c r="CO12" s="39">
        <f>Grunddaten7[[#This Row],[Sitze im Hauptorgan]]/_xlfn.NUMBERVALUE(MID(INDEX(TabDH12[[#Headers],[:1]:[:19]],COLUMN()-COLUMN(TabDH12[[#Headers],[:1]])+1),2,3))</f>
        <v>1.6666666666666667</v>
      </c>
      <c r="CP12" s="39">
        <f>Grunddaten7[[#This Row],[Sitze im Hauptorgan]]/_xlfn.NUMBERVALUE(MID(INDEX(TabDH12[[#Headers],[:1]:[:19]],COLUMN()-COLUMN(TabDH12[[#Headers],[:1]])+1),2,3))</f>
        <v>1.25</v>
      </c>
      <c r="CQ12" s="39">
        <f>Grunddaten7[[#This Row],[Sitze im Hauptorgan]]/_xlfn.NUMBERVALUE(MID(INDEX(TabDH12[[#Headers],[:1]:[:19]],COLUMN()-COLUMN(TabDH12[[#Headers],[:1]])+1),2,3))</f>
        <v>1</v>
      </c>
      <c r="CR12" s="39">
        <f>Grunddaten7[[#This Row],[Sitze im Hauptorgan]]/_xlfn.NUMBERVALUE(MID(INDEX(TabDH12[[#Headers],[:1]:[:19]],COLUMN()-COLUMN(TabDH12[[#Headers],[:1]])+1),2,3))</f>
        <v>0.83333333333333337</v>
      </c>
      <c r="CS12" s="39">
        <f>Grunddaten7[[#This Row],[Sitze im Hauptorgan]]/_xlfn.NUMBERVALUE(MID(INDEX(TabDH12[[#Headers],[:1]:[:19]],COLUMN()-COLUMN(TabDH12[[#Headers],[:1]])+1),2,3))</f>
        <v>0.7142857142857143</v>
      </c>
      <c r="CT12" s="39">
        <f>Grunddaten7[[#This Row],[Sitze im Hauptorgan]]/_xlfn.NUMBERVALUE(MID(INDEX(TabDH12[[#Headers],[:1]:[:19]],COLUMN()-COLUMN(TabDH12[[#Headers],[:1]])+1),2,3))</f>
        <v>0.625</v>
      </c>
      <c r="CU12" s="39">
        <f>Grunddaten7[[#This Row],[Sitze im Hauptorgan]]/_xlfn.NUMBERVALUE(MID(INDEX(TabDH12[[#Headers],[:1]:[:19]],COLUMN()-COLUMN(TabDH12[[#Headers],[:1]])+1),2,3))</f>
        <v>0.55555555555555558</v>
      </c>
      <c r="CV12" s="39">
        <f>Grunddaten7[[#This Row],[Sitze im Hauptorgan]]/_xlfn.NUMBERVALUE(MID(INDEX(TabDH12[[#Headers],[:1]:[:19]],COLUMN()-COLUMN(TabDH12[[#Headers],[:1]])+1),2,3))</f>
        <v>0.5</v>
      </c>
      <c r="CW12" s="39">
        <f>Grunddaten7[[#This Row],[Sitze im Hauptorgan]]/_xlfn.NUMBERVALUE(MID(INDEX(TabDH12[[#Headers],[:1]:[:19]],COLUMN()-COLUMN(TabDH12[[#Headers],[:1]])+1),2,3))</f>
        <v>0.45454545454545453</v>
      </c>
      <c r="CX12" s="39">
        <f>Grunddaten7[[#This Row],[Sitze im Hauptorgan]]/_xlfn.NUMBERVALUE(MID(INDEX(TabDH12[[#Headers],[:1]:[:19]],COLUMN()-COLUMN(TabDH12[[#Headers],[:1]])+1),2,3))</f>
        <v>0.41666666666666669</v>
      </c>
      <c r="CY12" s="39">
        <f>Grunddaten7[[#This Row],[Sitze im Hauptorgan]]/_xlfn.NUMBERVALUE(MID(INDEX(TabDH12[[#Headers],[:1]:[:19]],COLUMN()-COLUMN(TabDH12[[#Headers],[:1]])+1),2,3))</f>
        <v>0.38461538461538464</v>
      </c>
      <c r="CZ12" s="39">
        <f>Grunddaten7[[#This Row],[Sitze im Hauptorgan]]/_xlfn.NUMBERVALUE(MID(INDEX(TabDH12[[#Headers],[:1]:[:19]],COLUMN()-COLUMN(TabDH12[[#Headers],[:1]])+1),2,3))</f>
        <v>0.35714285714285715</v>
      </c>
      <c r="DA12" s="39">
        <f>Grunddaten7[[#This Row],[Sitze im Hauptorgan]]/_xlfn.NUMBERVALUE(MID(INDEX(TabDH12[[#Headers],[:1]:[:19]],COLUMN()-COLUMN(TabDH12[[#Headers],[:1]])+1),2,3))</f>
        <v>0.33333333333333331</v>
      </c>
      <c r="DB12" s="39">
        <f>Grunddaten7[[#This Row],[Sitze im Hauptorgan]]/_xlfn.NUMBERVALUE(MID(INDEX(TabDH12[[#Headers],[:1]:[:19]],COLUMN()-COLUMN(TabDH12[[#Headers],[:1]])+1),2,3))</f>
        <v>0.3125</v>
      </c>
      <c r="DC12" s="39">
        <f>Grunddaten7[[#This Row],[Sitze im Hauptorgan]]/_xlfn.NUMBERVALUE(MID(INDEX(TabDH12[[#Headers],[:1]:[:19]],COLUMN()-COLUMN(TabDH12[[#Headers],[:1]])+1),2,3))</f>
        <v>0.29411764705882354</v>
      </c>
      <c r="DD12" s="39">
        <f>Grunddaten7[[#This Row],[Sitze im Hauptorgan]]/_xlfn.NUMBERVALUE(MID(INDEX(TabDH12[[#Headers],[:1]:[:19]],COLUMN()-COLUMN(TabDH12[[#Headers],[:1]])+1),2,3))</f>
        <v>0.27777777777777779</v>
      </c>
      <c r="DE12" s="40">
        <f>Grunddaten7[[#This Row],[Sitze im Hauptorgan]]/_xlfn.NUMBERVALUE(MID(INDEX(TabDH12[[#Headers],[:1]:[:19]],COLUMN()-COLUMN(TabDH12[[#Headers],[:1]])+1),2,3))</f>
        <v>0.26315789473684209</v>
      </c>
      <c r="DF12" s="41">
        <f>_xlfn.RANK.EQ(TabDH12[[#This Row],[:1]],TabDH12[[:1]:[:19]],0)</f>
        <v>10</v>
      </c>
      <c r="DG12" s="42">
        <f>_xlfn.RANK.EQ(TabDH12[[#This Row],[:2]],TabDH12[[:1]:[:19]],0)</f>
        <v>24</v>
      </c>
      <c r="DH12" s="42">
        <f>_xlfn.RANK.EQ(TabDH12[[#This Row],[:3]],TabDH12[[:1]:[:19]],0)</f>
        <v>38</v>
      </c>
      <c r="DI12" s="42">
        <f>_xlfn.RANK.EQ(TabDH12[[#This Row],[:4]],TabDH12[[:1]:[:19]],0)</f>
        <v>52</v>
      </c>
      <c r="DJ12" s="42">
        <f>_xlfn.RANK.EQ(TabDH12[[#This Row],[:5]],TabDH12[[:1]:[:19]],0)</f>
        <v>64</v>
      </c>
      <c r="DK12" s="42">
        <f>_xlfn.RANK.EQ(TabDH12[[#This Row],[:6]],TabDH12[[:1]:[:19]],0)</f>
        <v>76</v>
      </c>
      <c r="DL12" s="42">
        <f>_xlfn.RANK.EQ(TabDH12[[#This Row],[:7]],TabDH12[[:1]:[:19]],0)</f>
        <v>83</v>
      </c>
      <c r="DM12" s="42">
        <f>_xlfn.RANK.EQ(TabDH12[[#This Row],[:8]],TabDH12[[:1]:[:19]],0)</f>
        <v>90</v>
      </c>
      <c r="DN12" s="42">
        <f>_xlfn.RANK.EQ(TabDH12[[#This Row],[:9]],TabDH12[[:1]:[:19]],0)</f>
        <v>97</v>
      </c>
      <c r="DO12" s="42">
        <f>_xlfn.RANK.EQ(TabDH12[[#This Row],[:10]],TabDH12[[:1]:[:19]],0)</f>
        <v>102</v>
      </c>
      <c r="DP12" s="42">
        <f>_xlfn.RANK.EQ(TabDH12[[#This Row],[:11]],TabDH12[[:1]:[:19]],0)</f>
        <v>108</v>
      </c>
      <c r="DQ12" s="42">
        <f>_xlfn.RANK.EQ(TabDH12[[#This Row],[:12]],TabDH12[[:1]:[:19]],0)</f>
        <v>113</v>
      </c>
      <c r="DR12" s="42">
        <f>_xlfn.RANK.EQ(TabDH12[[#This Row],[:13]],TabDH12[[:1]:[:19]],0)</f>
        <v>117</v>
      </c>
      <c r="DS12" s="42">
        <f>_xlfn.RANK.EQ(TabDH12[[#This Row],[:14]],TabDH12[[:1]:[:19]],0)</f>
        <v>120</v>
      </c>
      <c r="DT12" s="42">
        <f>_xlfn.RANK.EQ(TabDH12[[#This Row],[:15]],TabDH12[[:1]:[:19]],0)</f>
        <v>121</v>
      </c>
      <c r="DU12" s="42">
        <f>_xlfn.RANK.EQ(TabDH12[[#This Row],[:16]],TabDH12[[:1]:[:19]],0)</f>
        <v>123</v>
      </c>
      <c r="DV12" s="42">
        <f>_xlfn.RANK.EQ(TabDH12[[#This Row],[:17]],TabDH12[[:1]:[:19]],0)</f>
        <v>125</v>
      </c>
      <c r="DW12" s="42">
        <f>_xlfn.RANK.EQ(TabDH12[[#This Row],[:18]],TabDH12[[:1]:[:19]],0)</f>
        <v>127</v>
      </c>
      <c r="DX12" s="43">
        <f>_xlfn.RANK.EQ(TabDH12[[#This Row],[:19]],TabDH12[[:1]:[:19]],0)</f>
        <v>129</v>
      </c>
      <c r="DY12" s="44" t="str">
        <f>IF(TabDH12[[#This Row],[R1]]&lt;=Sitze_Ausschuss,IF(TabDH12[[#This Row],[R1]]+COUNTIF(TabDH12[[R1]:[R19]],TabDH12[[#This Row],[R1]])-1&lt;=Sitze_Ausschuss,"SITZ","PATT"),"")</f>
        <v>SITZ</v>
      </c>
      <c r="DZ12" s="45" t="str">
        <f>IF(TabDH12[[#This Row],[R2]]&lt;=Sitze_Ausschuss,IF(TabDH12[[#This Row],[R2]]+COUNTIF(TabDH12[[R1]:[R19]],TabDH12[[#This Row],[R2]])-1&lt;=Sitze_Ausschuss,"SITZ","PATT"),"")</f>
        <v/>
      </c>
      <c r="EA12" s="45" t="str">
        <f>IF(TabDH12[[#This Row],[R3]]&lt;=Sitze_Ausschuss,IF(TabDH12[[#This Row],[R3]]+COUNTIF(TabDH12[[R1]:[R19]],TabDH12[[#This Row],[R3]])-1&lt;=Sitze_Ausschuss,"SITZ","PATT"),"")</f>
        <v/>
      </c>
      <c r="EB12" s="45" t="str">
        <f>IF(TabDH12[[#This Row],[R4]]&lt;=Sitze_Ausschuss,IF(TabDH12[[#This Row],[R4]]+COUNTIF(TabDH12[[R1]:[R19]],TabDH12[[#This Row],[R4]])-1&lt;=Sitze_Ausschuss,"SITZ","PATT"),"")</f>
        <v/>
      </c>
      <c r="EC12" s="45" t="str">
        <f>IF(TabDH12[[#This Row],[R5]]&lt;=Sitze_Ausschuss,IF(TabDH12[[#This Row],[R5]]+COUNTIF(TabDH12[[R1]:[R19]],TabDH12[[#This Row],[R5]])-1&lt;=Sitze_Ausschuss,"SITZ","PATT"),"")</f>
        <v/>
      </c>
      <c r="ED12" s="45" t="str">
        <f>IF(TabDH12[[#This Row],[R6]]&lt;=Sitze_Ausschuss,IF(TabDH12[[#This Row],[R6]]+COUNTIF(TabDH12[[R1]:[R19]],TabDH12[[#This Row],[R6]])-1&lt;=Sitze_Ausschuss,"SITZ","PATT"),"")</f>
        <v/>
      </c>
      <c r="EE12" s="45" t="str">
        <f>IF(TabDH12[[#This Row],[R7]]&lt;=Sitze_Ausschuss,IF(TabDH12[[#This Row],[R7]]+COUNTIF(TabDH12[[R1]:[R19]],TabDH12[[#This Row],[R7]])-1&lt;=Sitze_Ausschuss,"SITZ","PATT"),"")</f>
        <v/>
      </c>
      <c r="EF12" s="45" t="str">
        <f>IF(TabDH12[[#This Row],[R8]]&lt;=Sitze_Ausschuss,IF(TabDH12[[#This Row],[R8]]+COUNTIF(TabDH12[[R1]:[R19]],TabDH12[[#This Row],[R8]])-1&lt;=Sitze_Ausschuss,"SITZ","PATT"),"")</f>
        <v/>
      </c>
      <c r="EG12" s="45" t="str">
        <f>IF(TabDH12[[#This Row],[R9]]&lt;=Sitze_Ausschuss,IF(TabDH12[[#This Row],[R9]]+COUNTIF(TabDH12[[R1]:[R19]],TabDH12[[#This Row],[R9]])-1&lt;=Sitze_Ausschuss,"SITZ","PATT"),"")</f>
        <v/>
      </c>
      <c r="EH12" s="45" t="str">
        <f>IF(TabDH12[[#This Row],[R10]]&lt;=Sitze_Ausschuss,IF(TabDH12[[#This Row],[R10]]+COUNTIF(TabDH12[[R1]:[R19]],TabDH12[[#This Row],[R10]])-1&lt;=Sitze_Ausschuss,"SITZ","PATT"),"")</f>
        <v/>
      </c>
      <c r="EI12" s="45" t="str">
        <f>IF(TabDH12[[#This Row],[R11]]&lt;=Sitze_Ausschuss,IF(TabDH12[[#This Row],[R11]]+COUNTIF(TabDH12[[R1]:[R19]],TabDH12[[#This Row],[R11]])-1&lt;=Sitze_Ausschuss,"SITZ","PATT"),"")</f>
        <v/>
      </c>
      <c r="EJ12" s="45" t="str">
        <f>IF(TabDH12[[#This Row],[R12]]&lt;=Sitze_Ausschuss,IF(TabDH12[[#This Row],[R12]]+COUNTIF(TabDH12[[R1]:[R19]],TabDH12[[#This Row],[R12]])-1&lt;=Sitze_Ausschuss,"SITZ","PATT"),"")</f>
        <v/>
      </c>
      <c r="EK12" s="45" t="str">
        <f>IF(TabDH12[[#This Row],[R13]]&lt;=Sitze_Ausschuss,IF(TabDH12[[#This Row],[R13]]+COUNTIF(TabDH12[[R1]:[R19]],TabDH12[[#This Row],[R13]])-1&lt;=Sitze_Ausschuss,"SITZ","PATT"),"")</f>
        <v/>
      </c>
      <c r="EL12" s="45" t="str">
        <f>IF(TabDH12[[#This Row],[R14]]&lt;=Sitze_Ausschuss,IF(TabDH12[[#This Row],[R14]]+COUNTIF(TabDH12[[R1]:[R19]],TabDH12[[#This Row],[R14]])-1&lt;=Sitze_Ausschuss,"SITZ","PATT"),"")</f>
        <v/>
      </c>
      <c r="EM12" s="45" t="str">
        <f>IF(TabDH12[[#This Row],[R15]]&lt;=Sitze_Ausschuss,IF(TabDH12[[#This Row],[R15]]+COUNTIF(TabDH12[[R1]:[R19]],TabDH12[[#This Row],[R15]])-1&lt;=Sitze_Ausschuss,"SITZ","PATT"),"")</f>
        <v/>
      </c>
      <c r="EN12" s="45" t="str">
        <f>IF(TabDH12[[#This Row],[R16]]&lt;=Sitze_Ausschuss,IF(TabDH12[[#This Row],[R16]]+COUNTIF(TabDH12[[R1]:[R19]],TabDH12[[#This Row],[R16]])-1&lt;=Sitze_Ausschuss,"SITZ","PATT"),"")</f>
        <v/>
      </c>
      <c r="EO12" s="45" t="str">
        <f>IF(TabDH12[[#This Row],[R17]]&lt;=Sitze_Ausschuss,IF(TabDH12[[#This Row],[R17]]+COUNTIF(TabDH12[[R1]:[R19]],TabDH12[[#This Row],[R17]])-1&lt;=Sitze_Ausschuss,"SITZ","PATT"),"")</f>
        <v/>
      </c>
      <c r="EP12" s="45" t="str">
        <f>IF(TabDH12[[#This Row],[R18]]&lt;=Sitze_Ausschuss,IF(TabDH12[[#This Row],[R18]]+COUNTIF(TabDH12[[R1]:[R19]],TabDH12[[#This Row],[R18]])-1&lt;=Sitze_Ausschuss,"SITZ","PATT"),"")</f>
        <v/>
      </c>
      <c r="EQ12" s="45" t="str">
        <f>IF(TabDH12[[#This Row],[R19]]&lt;=Sitze_Ausschuss,IF(TabDH12[[#This Row],[R19]]+COUNTIF(TabDH12[[R1]:[R19]],TabDH12[[#This Row],[R19]])-1&lt;=Sitze_Ausschuss,"SITZ","PATT"),"")</f>
        <v/>
      </c>
      <c r="ER12" s="47" t="b">
        <f>COUNTIF(TabDH12[[#This Row],[SP1]:[SP19]],"PATT")&gt;0</f>
        <v>0</v>
      </c>
      <c r="ES12" s="33">
        <f>IF(TabDH12[[#This Row],[Patt]],(Sitze_Ausschuss-SUM(TabDH12[Sitze]))/TabDH12[[#Totals],[Patt]],0)</f>
        <v>0</v>
      </c>
      <c r="ET12" s="48">
        <f>TabDH12[[#This Row],[Patt]]*IF(Pattaufloesung="Stimmen",TabPatt11[[#This Row],[Stimmen]],0)*1</f>
        <v>0</v>
      </c>
      <c r="EU12" s="49" t="b">
        <f>_xlfn.RANK.EQ(TabDH12[[#This Row],[Stimmen/Gelost]],TabDH12[Stimmen/Gelost],0)&lt;=(Sitze_Ausschuss-SUM(TabDH12[Sitze]))</f>
        <v>1</v>
      </c>
      <c r="EV12" s="50" t="b">
        <f>OR(TabDH12[[#This Row],[Sitze]]&lt;ROUNDDOWN(Grunddaten7[[#This Row],[Proporzgenaue Zahl Ausschuss]],0),TabDH12[[#This Row],[Sitze]]+(TabDH12[[#This Row],[Patt]]*1)&gt;ROUNDUP(Grunddaten7[[#This Row],[Proporzgenaue Zahl Ausschuss]],0))</f>
        <v>0</v>
      </c>
      <c r="EW12" s="3"/>
      <c r="EX12" s="51" t="str">
        <f>Grunddaten7[[#This Row],[Partei/Wählergruppe]]&amp;""</f>
        <v>AG1 [ÖDP FRA Tie]</v>
      </c>
      <c r="EY12" s="51">
        <f t="shared" si="6"/>
        <v>0</v>
      </c>
      <c r="EZ12" s="3"/>
      <c r="FA12" s="3"/>
      <c r="FB12" s="3"/>
      <c r="FC12" s="3"/>
      <c r="FD12" s="3"/>
    </row>
    <row r="13" spans="1:166" x14ac:dyDescent="0.25">
      <c r="A13" s="3"/>
      <c r="B13" s="89" t="str">
        <f t="shared" si="0"/>
        <v>AG2 [FDP LIN Bay]</v>
      </c>
      <c r="C13" s="91">
        <f t="shared" si="1"/>
        <v>7</v>
      </c>
      <c r="D13" s="168">
        <f>Grunddaten7[[#This Row],[Sitze im Hauptorgan]]/Grunddaten7[[#Totals],[Sitze im Hauptorgan]]*Sitze_Ausschuss</f>
        <v>1.4000000000000001</v>
      </c>
      <c r="E13" s="159" t="str">
        <f>IF(ROUNDDOWN(Grunddaten7[[#This Row],[Proporzgenaue Zahl Ausschuss]],0)&lt;&gt;ROUNDUP(Grunddaten7[[#This Row],[Proporzgenaue Zahl Ausschuss]],0), ROUNDDOWN(Grunddaten7[[#This Row],[Proporzgenaue Zahl Ausschuss]],0)&amp;" oder "&amp;ROUNDUP(Grunddaten7[[#This Row],[Proporzgenaue Zahl Ausschuss]],0),ROUND(Grunddaten7[[#This Row],[Proporzgenaue Zahl Ausschuss]],0))</f>
        <v>1 oder 2</v>
      </c>
      <c r="F13" s="52" t="str">
        <f t="shared" si="2"/>
        <v>OK</v>
      </c>
      <c r="G13" s="52" t="str">
        <f>IF(TabSLS10[[#This Row],[QK verletzt]],"NOK","OK")</f>
        <v>OK</v>
      </c>
      <c r="H13" s="53" t="str">
        <f>IF(TabDH12[[#This Row],[QK verletzt]],"NOK","OK")</f>
        <v>OK</v>
      </c>
      <c r="I13" s="163">
        <f t="shared" si="3"/>
        <v>0</v>
      </c>
      <c r="J13" s="163">
        <f t="shared" si="4"/>
        <v>0</v>
      </c>
      <c r="K13" s="163">
        <f t="shared" si="5"/>
        <v>0</v>
      </c>
      <c r="L13" s="3"/>
      <c r="M13" s="92">
        <f>TabHN9[[#This Row],[S ganz]]+IF(NOT(TabHN9[[#This Row],[Patt]]),TabHN9[[#This Row],[Restsitz]],0)</f>
        <v>1</v>
      </c>
      <c r="N13" s="162">
        <f>IF(TabHN9[[#This Row],[Patt]],IF(Pattaufloesung="Los-Chance",TabHN9[[#This Row],[Los Chance]],TabHN9[[#This Row],[Pattgewinn]]+0),0)</f>
        <v>0</v>
      </c>
      <c r="O13" s="30">
        <f>INT(Grunddaten7[[#This Row],[Proporzgenaue Zahl Ausschuss]])</f>
        <v>1</v>
      </c>
      <c r="P13" s="31">
        <f>ROUND(Grunddaten7[[#This Row],[Proporzgenaue Zahl Ausschuss]]-TabHN9[[#This Row],[S ganz]],4)</f>
        <v>0.4</v>
      </c>
      <c r="Q13" s="32">
        <f>_xlfn.RANK.EQ(TabHN9[[#This Row],[S Rest]],TabHN9[S Rest],0)</f>
        <v>3</v>
      </c>
      <c r="R13" s="30">
        <f>IF(TabHN9[[#This Row],[Rng Rest]]&lt;=TabHN9[[#Totals],[S Rest]],1,0)</f>
        <v>0</v>
      </c>
      <c r="S13" s="30" t="b">
        <f>AND(TabHN9[[#This Row],[Restsitz]]=1,(COUNTIF(TabHN9[Rng Rest],TabHN9[[#This Row],[Rng Rest]])+TabHN9[[#This Row],[Rng Rest]]-1)&gt;TabHN9[[#Totals],[S Rest]])</f>
        <v>0</v>
      </c>
      <c r="T13" s="33">
        <f>IF(TabHN9[[#This Row],[Patt]],(Sitze_Ausschuss-SUM(TabHN9[Sitze]))/TabHN9[[#Totals],[Patt]],0)</f>
        <v>0</v>
      </c>
      <c r="U13" s="34">
        <f>TabHN9[[#This Row],[Patt]]*IF(Pattaufloesung="Stimmen",TabPatt11[[#This Row],[Stimmen]],0)*1</f>
        <v>0</v>
      </c>
      <c r="V13" s="35" t="b">
        <f>_xlfn.RANK.EQ(TabHN9[[#This Row],[Stimmen/Gelost]],TabHN9[Stimmen/Gelost],0)&lt;=(Sitze_Ausschuss-SUM(TabHN9[Sitze]))</f>
        <v>0</v>
      </c>
      <c r="W13" s="3"/>
      <c r="X13" s="36">
        <f>COUNTIF(TabSLS10[[#This Row],[SP1]:[SP37]],"SITZ")</f>
        <v>1</v>
      </c>
      <c r="Y13" s="37">
        <f>IF(TabSLS10[[#This Row],[Patt?]],IF(Pattaufloesung="Los-Chance",TabSLS10[[#This Row],[Los Chance]],TabSLS10[[#This Row],[Pattgewinn]]+0),0)</f>
        <v>0</v>
      </c>
      <c r="Z13" s="38">
        <f>Grunddaten7[[#This Row],[Sitze im Hauptorgan]]/_xlfn.NUMBERVALUE(MID(INDEX(TabSLS10[[#Headers],[:1]:[:37]],COLUMN()-COLUMN(TabSLS10[[#Headers],[:1]])+1),2,3))</f>
        <v>7</v>
      </c>
      <c r="AA13" s="39">
        <f>Grunddaten7[[#This Row],[Sitze im Hauptorgan]]/_xlfn.NUMBERVALUE(MID(INDEX(TabSLS10[[#Headers],[:1]:[:37]],COLUMN()-COLUMN(TabSLS10[[#Headers],[:1]])+1),2,3))</f>
        <v>2.3333333333333335</v>
      </c>
      <c r="AB13" s="39">
        <f>Grunddaten7[[#This Row],[Sitze im Hauptorgan]]/_xlfn.NUMBERVALUE(MID(INDEX(TabSLS10[[#Headers],[:1]:[:37]],COLUMN()-COLUMN(TabSLS10[[#Headers],[:1]])+1),2,3))</f>
        <v>1.4</v>
      </c>
      <c r="AC13" s="39">
        <f>Grunddaten7[[#This Row],[Sitze im Hauptorgan]]/_xlfn.NUMBERVALUE(MID(INDEX(TabSLS10[[#Headers],[:1]:[:37]],COLUMN()-COLUMN(TabSLS10[[#Headers],[:1]])+1),2,3))</f>
        <v>1</v>
      </c>
      <c r="AD13" s="39">
        <f>Grunddaten7[[#This Row],[Sitze im Hauptorgan]]/_xlfn.NUMBERVALUE(MID(INDEX(TabSLS10[[#Headers],[:1]:[:37]],COLUMN()-COLUMN(TabSLS10[[#Headers],[:1]])+1),2,3))</f>
        <v>0.77777777777777779</v>
      </c>
      <c r="AE13" s="39">
        <f>Grunddaten7[[#This Row],[Sitze im Hauptorgan]]/_xlfn.NUMBERVALUE(MID(INDEX(TabSLS10[[#Headers],[:1]:[:37]],COLUMN()-COLUMN(TabSLS10[[#Headers],[:1]])+1),2,3))</f>
        <v>0.63636363636363635</v>
      </c>
      <c r="AF13" s="39">
        <f>Grunddaten7[[#This Row],[Sitze im Hauptorgan]]/_xlfn.NUMBERVALUE(MID(INDEX(TabSLS10[[#Headers],[:1]:[:37]],COLUMN()-COLUMN(TabSLS10[[#Headers],[:1]])+1),2,3))</f>
        <v>0.53846153846153844</v>
      </c>
      <c r="AG13" s="39">
        <f>Grunddaten7[[#This Row],[Sitze im Hauptorgan]]/_xlfn.NUMBERVALUE(MID(INDEX(TabSLS10[[#Headers],[:1]:[:37]],COLUMN()-COLUMN(TabSLS10[[#Headers],[:1]])+1),2,3))</f>
        <v>0.46666666666666667</v>
      </c>
      <c r="AH13" s="39">
        <f>Grunddaten7[[#This Row],[Sitze im Hauptorgan]]/_xlfn.NUMBERVALUE(MID(INDEX(TabSLS10[[#Headers],[:1]:[:37]],COLUMN()-COLUMN(TabSLS10[[#Headers],[:1]])+1),2,3))</f>
        <v>0.41176470588235292</v>
      </c>
      <c r="AI13" s="39">
        <f>Grunddaten7[[#This Row],[Sitze im Hauptorgan]]/_xlfn.NUMBERVALUE(MID(INDEX(TabSLS10[[#Headers],[:1]:[:37]],COLUMN()-COLUMN(TabSLS10[[#Headers],[:1]])+1),2,3))</f>
        <v>0.36842105263157893</v>
      </c>
      <c r="AJ13" s="39">
        <f>Grunddaten7[[#This Row],[Sitze im Hauptorgan]]/_xlfn.NUMBERVALUE(MID(INDEX(TabSLS10[[#Headers],[:1]:[:37]],COLUMN()-COLUMN(TabSLS10[[#Headers],[:1]])+1),2,3))</f>
        <v>0.33333333333333331</v>
      </c>
      <c r="AK13" s="39">
        <f>Grunddaten7[[#This Row],[Sitze im Hauptorgan]]/_xlfn.NUMBERVALUE(MID(INDEX(TabSLS10[[#Headers],[:1]:[:37]],COLUMN()-COLUMN(TabSLS10[[#Headers],[:1]])+1),2,3))</f>
        <v>0.30434782608695654</v>
      </c>
      <c r="AL13" s="39">
        <f>Grunddaten7[[#This Row],[Sitze im Hauptorgan]]/_xlfn.NUMBERVALUE(MID(INDEX(TabSLS10[[#Headers],[:1]:[:37]],COLUMN()-COLUMN(TabSLS10[[#Headers],[:1]])+1),2,3))</f>
        <v>0.28000000000000003</v>
      </c>
      <c r="AM13" s="39">
        <f>Grunddaten7[[#This Row],[Sitze im Hauptorgan]]/_xlfn.NUMBERVALUE(MID(INDEX(TabSLS10[[#Headers],[:1]:[:37]],COLUMN()-COLUMN(TabSLS10[[#Headers],[:1]])+1),2,3))</f>
        <v>0.25925925925925924</v>
      </c>
      <c r="AN13" s="39">
        <f>Grunddaten7[[#This Row],[Sitze im Hauptorgan]]/_xlfn.NUMBERVALUE(MID(INDEX(TabSLS10[[#Headers],[:1]:[:37]],COLUMN()-COLUMN(TabSLS10[[#Headers],[:1]])+1),2,3))</f>
        <v>0.2413793103448276</v>
      </c>
      <c r="AO13" s="39">
        <f>Grunddaten7[[#This Row],[Sitze im Hauptorgan]]/_xlfn.NUMBERVALUE(MID(INDEX(TabSLS10[[#Headers],[:1]:[:37]],COLUMN()-COLUMN(TabSLS10[[#Headers],[:1]])+1),2,3))</f>
        <v>0.22580645161290322</v>
      </c>
      <c r="AP13" s="39">
        <f>Grunddaten7[[#This Row],[Sitze im Hauptorgan]]/_xlfn.NUMBERVALUE(MID(INDEX(TabSLS10[[#Headers],[:1]:[:37]],COLUMN()-COLUMN(TabSLS10[[#Headers],[:1]])+1),2,3))</f>
        <v>0.21212121212121213</v>
      </c>
      <c r="AQ13" s="39">
        <f>Grunddaten7[[#This Row],[Sitze im Hauptorgan]]/_xlfn.NUMBERVALUE(MID(INDEX(TabSLS10[[#Headers],[:1]:[:37]],COLUMN()-COLUMN(TabSLS10[[#Headers],[:1]])+1),2,3))</f>
        <v>0.2</v>
      </c>
      <c r="AR13" s="40">
        <f>Grunddaten7[[#This Row],[Sitze im Hauptorgan]]/_xlfn.NUMBERVALUE(MID(INDEX(TabSLS10[[#Headers],[:1]:[:37]],COLUMN()-COLUMN(TabSLS10[[#Headers],[:1]])+1),2,3))</f>
        <v>0.1891891891891892</v>
      </c>
      <c r="AS13" s="41">
        <f>_xlfn.RANK.EQ(TabSLS10[[#This Row],[:1]],TabSLS10[[:1]:[:37]],0)</f>
        <v>5</v>
      </c>
      <c r="AT13" s="42">
        <f>_xlfn.RANK.EQ(TabSLS10[[#This Row],[:3]],TabSLS10[[:1]:[:37]],0)</f>
        <v>15</v>
      </c>
      <c r="AU13" s="42">
        <f>_xlfn.RANK.EQ(TabSLS10[[#This Row],[:5]],TabSLS10[[:1]:[:37]],0)</f>
        <v>26</v>
      </c>
      <c r="AV13" s="42">
        <f>_xlfn.RANK.EQ(TabSLS10[[#This Row],[:7]],TabSLS10[[:1]:[:37]],0)</f>
        <v>35</v>
      </c>
      <c r="AW13" s="42">
        <f>_xlfn.RANK.EQ(TabSLS10[[#This Row],[:9]],TabSLS10[[:1]:[:37]],0)</f>
        <v>45</v>
      </c>
      <c r="AX13" s="42">
        <f>_xlfn.RANK.EQ(TabSLS10[[#This Row],[:11]],TabSLS10[[:1]:[:37]],0)</f>
        <v>56</v>
      </c>
      <c r="AY13" s="42">
        <f>_xlfn.RANK.EQ(TabSLS10[[#This Row],[:13]],TabSLS10[[:1]:[:37]],0)</f>
        <v>66</v>
      </c>
      <c r="AZ13" s="42">
        <f>_xlfn.RANK.EQ(TabSLS10[[#This Row],[:15]],TabSLS10[[:1]:[:37]],0)</f>
        <v>73</v>
      </c>
      <c r="BA13" s="42">
        <f>_xlfn.RANK.EQ(TabSLS10[[#This Row],[:17]],TabSLS10[[:1]:[:37]],0)</f>
        <v>80</v>
      </c>
      <c r="BB13" s="42">
        <f>_xlfn.RANK.EQ(TabSLS10[[#This Row],[:19]],TabSLS10[[:1]:[:37]],0)</f>
        <v>85</v>
      </c>
      <c r="BC13" s="42">
        <f>_xlfn.RANK.EQ(TabSLS10[[#This Row],[:21]],TabSLS10[[:1]:[:37]],0)</f>
        <v>89</v>
      </c>
      <c r="BD13" s="42">
        <f>_xlfn.RANK.EQ(TabSLS10[[#This Row],[:23]],TabSLS10[[:1]:[:37]],0)</f>
        <v>94</v>
      </c>
      <c r="BE13" s="42">
        <f>_xlfn.RANK.EQ(TabSLS10[[#This Row],[:25]],TabSLS10[[:1]:[:37]],0)</f>
        <v>99</v>
      </c>
      <c r="BF13" s="42">
        <f>_xlfn.RANK.EQ(TabSLS10[[#This Row],[:27]],TabSLS10[[:1]:[:37]],0)</f>
        <v>104</v>
      </c>
      <c r="BG13" s="42">
        <f>_xlfn.RANK.EQ(TabSLS10[[#This Row],[:29]],TabSLS10[[:1]:[:37]],0)</f>
        <v>107</v>
      </c>
      <c r="BH13" s="42">
        <f>_xlfn.RANK.EQ(TabSLS10[[#This Row],[:31]],TabSLS10[[:1]:[:37]],0)</f>
        <v>111</v>
      </c>
      <c r="BI13" s="42">
        <f>_xlfn.RANK.EQ(TabSLS10[[#This Row],[:33]],TabSLS10[[:1]:[:37]],0)</f>
        <v>114</v>
      </c>
      <c r="BJ13" s="42">
        <f>_xlfn.RANK.EQ(TabSLS10[[#This Row],[:35]],TabSLS10[[:1]:[:37]],0)</f>
        <v>116</v>
      </c>
      <c r="BK13" s="43">
        <f>_xlfn.RANK.EQ(TabSLS10[[#This Row],[:37]],TabSLS10[[:1]:[:37]],0)</f>
        <v>119</v>
      </c>
      <c r="BL13" s="44" t="str">
        <f>IF(TabSLS10[[#This Row],[R1]]&lt;=Sitze_Ausschuss,IF(TabSLS10[[#This Row],[R1]]+COUNTIF(TabSLS10[[R1]:[R37]],TabSLS10[[#This Row],[R1]])-1&lt;=Sitze_Ausschuss,"SITZ","PATT"),"")</f>
        <v>SITZ</v>
      </c>
      <c r="BM13" s="45" t="str">
        <f>IF(TabSLS10[[#This Row],[R3]]&lt;=Sitze_Ausschuss,IF(TabSLS10[[#This Row],[R3]]+COUNTIF(TabSLS10[[R1]:[R37]],TabSLS10[[#This Row],[R3]])-1&lt;=Sitze_Ausschuss,"SITZ","PATT"),"")</f>
        <v/>
      </c>
      <c r="BN13" s="45" t="str">
        <f>IF(TabSLS10[[#This Row],[R5]]&lt;=Sitze_Ausschuss,IF(TabSLS10[[#This Row],[R5]]+COUNTIF(TabSLS10[[R1]:[R37]],TabSLS10[[#This Row],[R5]])-1&lt;=Sitze_Ausschuss,"SITZ","PATT"),"")</f>
        <v/>
      </c>
      <c r="BO13" s="45" t="str">
        <f>IF(TabSLS10[[#This Row],[R7]]&lt;=Sitze_Ausschuss,IF(TabSLS10[[#This Row],[R7]]+COUNTIF(TabSLS10[[R1]:[R37]],TabSLS10[[#This Row],[R7]])-1&lt;=Sitze_Ausschuss,"SITZ","PATT"),"")</f>
        <v/>
      </c>
      <c r="BP13" s="45" t="str">
        <f>IF(TabSLS10[[#This Row],[R9]]&lt;=Sitze_Ausschuss,IF(TabSLS10[[#This Row],[R9]]+COUNTIF(TabSLS10[[R1]:[R37]],TabSLS10[[#This Row],[R9]])-1&lt;=Sitze_Ausschuss,"SITZ","PATT"),"")</f>
        <v/>
      </c>
      <c r="BQ13" s="45" t="str">
        <f>IF(TabSLS10[[#This Row],[R11]]&lt;=Sitze_Ausschuss,IF(TabSLS10[[#This Row],[R11]]+COUNTIF(TabSLS10[[R1]:[R37]],TabSLS10[[#This Row],[R11]])-1&lt;=Sitze_Ausschuss,"SITZ","PATT"),"")</f>
        <v/>
      </c>
      <c r="BR13" s="45" t="str">
        <f>IF(TabSLS10[[#This Row],[R13]]&lt;=Sitze_Ausschuss,IF(TabSLS10[[#This Row],[R13]]+COUNTIF(TabSLS10[[R1]:[R37]],TabSLS10[[#This Row],[R13]])-1&lt;=Sitze_Ausschuss,"SITZ","PATT"),"")</f>
        <v/>
      </c>
      <c r="BS13" s="45" t="str">
        <f>IF(TabSLS10[[#This Row],[R15]]&lt;=Sitze_Ausschuss,IF(TabSLS10[[#This Row],[R15]]+COUNTIF(TabSLS10[[R1]:[R37]],TabSLS10[[#This Row],[R15]])-1&lt;=Sitze_Ausschuss,"SITZ","PATT"),"")</f>
        <v/>
      </c>
      <c r="BT13" s="45" t="str">
        <f>IF(TabSLS10[[#This Row],[R17]]&lt;=Sitze_Ausschuss,IF(TabSLS10[[#This Row],[R17]]+COUNTIF(TabSLS10[[R1]:[R37]],TabSLS10[[#This Row],[R17]])-1&lt;=Sitze_Ausschuss,"SITZ","PATT"),"")</f>
        <v/>
      </c>
      <c r="BU13" s="45" t="str">
        <f>IF(TabSLS10[[#This Row],[R19]]&lt;=Sitze_Ausschuss,IF(TabSLS10[[#This Row],[R19]]+COUNTIF(TabSLS10[[R1]:[R37]],TabSLS10[[#This Row],[R19]])-1&lt;=Sitze_Ausschuss,"SITZ","PATT"),"")</f>
        <v/>
      </c>
      <c r="BV13" s="45" t="str">
        <f>IF(TabSLS10[[#This Row],[R21]]&lt;=Sitze_Ausschuss,IF(TabSLS10[[#This Row],[R21]]+COUNTIF(TabSLS10[[R1]:[R37]],TabSLS10[[#This Row],[R21]])-1&lt;=Sitze_Ausschuss,"SITZ","PATT"),"")</f>
        <v/>
      </c>
      <c r="BW13" s="45" t="str">
        <f>IF(TabSLS10[[#This Row],[R23]]&lt;=Sitze_Ausschuss,IF(TabSLS10[[#This Row],[R23]]+COUNTIF(TabSLS10[[R1]:[R37]],TabSLS10[[#This Row],[R23]])-1&lt;=Sitze_Ausschuss,"SITZ","PATT"),"")</f>
        <v/>
      </c>
      <c r="BX13" s="45" t="str">
        <f>IF(TabSLS10[[#This Row],[R25]]&lt;=Sitze_Ausschuss,IF(TabSLS10[[#This Row],[R25]]+COUNTIF(TabSLS10[[R1]:[R37]],TabSLS10[[#This Row],[R25]])-1&lt;=Sitze_Ausschuss,"SITZ","PATT"),"")</f>
        <v/>
      </c>
      <c r="BY13" s="45" t="str">
        <f>IF(TabSLS10[[#This Row],[R27]]&lt;=Sitze_Ausschuss,IF(TabSLS10[[#This Row],[R27]]+COUNTIF(TabSLS10[[R1]:[R37]],TabSLS10[[#This Row],[R27]])-1&lt;=Sitze_Ausschuss,"SITZ","PATT"),"")</f>
        <v/>
      </c>
      <c r="BZ13" s="45" t="str">
        <f>IF(TabSLS10[[#This Row],[R29]]&lt;=Sitze_Ausschuss,IF(TabSLS10[[#This Row],[R29]]+COUNTIF(TabSLS10[[R1]:[R37]],TabSLS10[[#This Row],[R29]])-1&lt;=Sitze_Ausschuss,"SITZ","PATT"),"")</f>
        <v/>
      </c>
      <c r="CA13" s="45" t="str">
        <f>IF(TabSLS10[[#This Row],[R31]]&lt;=Sitze_Ausschuss,IF(TabSLS10[[#This Row],[R31]]+COUNTIF(TabSLS10[[R1]:[R37]],TabSLS10[[#This Row],[R31]])-1&lt;=Sitze_Ausschuss,"SITZ","PATT"),"")</f>
        <v/>
      </c>
      <c r="CB13" s="45" t="str">
        <f>IF(TabSLS10[[#This Row],[R33]]&lt;=Sitze_Ausschuss,IF(TabSLS10[[#This Row],[R33]]+COUNTIF(TabSLS10[[R1]:[R37]],TabSLS10[[#This Row],[R33]])-1&lt;=Sitze_Ausschuss,"SITZ","PATT"),"")</f>
        <v/>
      </c>
      <c r="CC13" s="45" t="str">
        <f>IF(TabSLS10[[#This Row],[R35]]&lt;=Sitze_Ausschuss,IF(TabSLS10[[#This Row],[R35]]+COUNTIF(TabSLS10[[R1]:[R37]],TabSLS10[[#This Row],[R35]])-1&lt;=Sitze_Ausschuss,"SITZ","PATT"),"")</f>
        <v/>
      </c>
      <c r="CD13" s="46" t="str">
        <f>IF(TabSLS10[[#This Row],[R37]]&lt;=Sitze_Ausschuss,IF(TabSLS10[[#This Row],[R37]]+COUNTIF(TabSLS10[[R1]:[R37]],TabSLS10[[#This Row],[R37]])-1&lt;=Sitze_Ausschuss,"SITZ","PATT"),"")</f>
        <v/>
      </c>
      <c r="CE13" s="47" t="b">
        <f>COUNTIF(TabSLS10[[#This Row],[SP1]:[SP37]],"PATT")&gt;0</f>
        <v>0</v>
      </c>
      <c r="CF13" s="33">
        <f>IF(TabSLS10[[#This Row],[Patt?]],(Sitze_Ausschuss-SUM(TabSLS10[Sitze]))/TabSLS10[[#Totals],[Patt?]],0)</f>
        <v>0</v>
      </c>
      <c r="CG13" s="48">
        <f>TabSLS10[[#This Row],[Patt?]]*IF(Pattaufloesung="Stimmen",TabPatt11[[#This Row],[Stimmen]],0)*1</f>
        <v>0</v>
      </c>
      <c r="CH13" s="49" t="b">
        <f>_xlfn.RANK.EQ(TabSLS10[[#This Row],[Stimmen Gelost]],TabSLS10[Stimmen Gelost],0)&lt;=(Sitze_Ausschuss-SUM(TabSLS10[Sitze]))</f>
        <v>0</v>
      </c>
      <c r="CI13" s="50" t="b">
        <f>OR(TabSLS10[[#This Row],[Sitze]]&lt;ROUNDDOWN(Grunddaten7[[#This Row],[Proporzgenaue Zahl Ausschuss]],0),TabSLS10[[#This Row],[Sitze]]+(TabSLS10[[#This Row],[Patt?]]*1)&gt;ROUNDUP(Grunddaten7[[#This Row],[Proporzgenaue Zahl Ausschuss]],0))</f>
        <v>0</v>
      </c>
      <c r="CJ13" s="3"/>
      <c r="CK13" s="36">
        <f>COUNTIF(TabDH12[[#This Row],[SP1]:[SP19]],"SITZ")</f>
        <v>1</v>
      </c>
      <c r="CL13" s="37">
        <f>IF(TabDH12[[#This Row],[Patt]],IF(Pattaufloesung="Los-Chance",TabDH12[[#This Row],[Los Chance]],TabDH12[[#This Row],[Pattgewinn]]+0),0)</f>
        <v>0</v>
      </c>
      <c r="CM13" s="38">
        <f>Grunddaten7[[#This Row],[Sitze im Hauptorgan]]/_xlfn.NUMBERVALUE(MID(INDEX(TabDH12[[#Headers],[:1]:[:19]],COLUMN()-COLUMN(TabDH12[[#Headers],[:1]])+1),2,3))</f>
        <v>7</v>
      </c>
      <c r="CN13" s="39">
        <f>Grunddaten7[[#This Row],[Sitze im Hauptorgan]]/_xlfn.NUMBERVALUE(MID(INDEX(TabDH12[[#Headers],[:1]:[:19]],COLUMN()-COLUMN(TabDH12[[#Headers],[:1]])+1),2,3))</f>
        <v>3.5</v>
      </c>
      <c r="CO13" s="39">
        <f>Grunddaten7[[#This Row],[Sitze im Hauptorgan]]/_xlfn.NUMBERVALUE(MID(INDEX(TabDH12[[#Headers],[:1]:[:19]],COLUMN()-COLUMN(TabDH12[[#Headers],[:1]])+1),2,3))</f>
        <v>2.3333333333333335</v>
      </c>
      <c r="CP13" s="39">
        <f>Grunddaten7[[#This Row],[Sitze im Hauptorgan]]/_xlfn.NUMBERVALUE(MID(INDEX(TabDH12[[#Headers],[:1]:[:19]],COLUMN()-COLUMN(TabDH12[[#Headers],[:1]])+1),2,3))</f>
        <v>1.75</v>
      </c>
      <c r="CQ13" s="39">
        <f>Grunddaten7[[#This Row],[Sitze im Hauptorgan]]/_xlfn.NUMBERVALUE(MID(INDEX(TabDH12[[#Headers],[:1]:[:19]],COLUMN()-COLUMN(TabDH12[[#Headers],[:1]])+1),2,3))</f>
        <v>1.4</v>
      </c>
      <c r="CR13" s="39">
        <f>Grunddaten7[[#This Row],[Sitze im Hauptorgan]]/_xlfn.NUMBERVALUE(MID(INDEX(TabDH12[[#Headers],[:1]:[:19]],COLUMN()-COLUMN(TabDH12[[#Headers],[:1]])+1),2,3))</f>
        <v>1.1666666666666667</v>
      </c>
      <c r="CS13" s="39">
        <f>Grunddaten7[[#This Row],[Sitze im Hauptorgan]]/_xlfn.NUMBERVALUE(MID(INDEX(TabDH12[[#Headers],[:1]:[:19]],COLUMN()-COLUMN(TabDH12[[#Headers],[:1]])+1),2,3))</f>
        <v>1</v>
      </c>
      <c r="CT13" s="39">
        <f>Grunddaten7[[#This Row],[Sitze im Hauptorgan]]/_xlfn.NUMBERVALUE(MID(INDEX(TabDH12[[#Headers],[:1]:[:19]],COLUMN()-COLUMN(TabDH12[[#Headers],[:1]])+1),2,3))</f>
        <v>0.875</v>
      </c>
      <c r="CU13" s="39">
        <f>Grunddaten7[[#This Row],[Sitze im Hauptorgan]]/_xlfn.NUMBERVALUE(MID(INDEX(TabDH12[[#Headers],[:1]:[:19]],COLUMN()-COLUMN(TabDH12[[#Headers],[:1]])+1),2,3))</f>
        <v>0.77777777777777779</v>
      </c>
      <c r="CV13" s="39">
        <f>Grunddaten7[[#This Row],[Sitze im Hauptorgan]]/_xlfn.NUMBERVALUE(MID(INDEX(TabDH12[[#Headers],[:1]:[:19]],COLUMN()-COLUMN(TabDH12[[#Headers],[:1]])+1),2,3))</f>
        <v>0.7</v>
      </c>
      <c r="CW13" s="39">
        <f>Grunddaten7[[#This Row],[Sitze im Hauptorgan]]/_xlfn.NUMBERVALUE(MID(INDEX(TabDH12[[#Headers],[:1]:[:19]],COLUMN()-COLUMN(TabDH12[[#Headers],[:1]])+1),2,3))</f>
        <v>0.63636363636363635</v>
      </c>
      <c r="CX13" s="39">
        <f>Grunddaten7[[#This Row],[Sitze im Hauptorgan]]/_xlfn.NUMBERVALUE(MID(INDEX(TabDH12[[#Headers],[:1]:[:19]],COLUMN()-COLUMN(TabDH12[[#Headers],[:1]])+1),2,3))</f>
        <v>0.58333333333333337</v>
      </c>
      <c r="CY13" s="39">
        <f>Grunddaten7[[#This Row],[Sitze im Hauptorgan]]/_xlfn.NUMBERVALUE(MID(INDEX(TabDH12[[#Headers],[:1]:[:19]],COLUMN()-COLUMN(TabDH12[[#Headers],[:1]])+1),2,3))</f>
        <v>0.53846153846153844</v>
      </c>
      <c r="CZ13" s="39">
        <f>Grunddaten7[[#This Row],[Sitze im Hauptorgan]]/_xlfn.NUMBERVALUE(MID(INDEX(TabDH12[[#Headers],[:1]:[:19]],COLUMN()-COLUMN(TabDH12[[#Headers],[:1]])+1),2,3))</f>
        <v>0.5</v>
      </c>
      <c r="DA13" s="39">
        <f>Grunddaten7[[#This Row],[Sitze im Hauptorgan]]/_xlfn.NUMBERVALUE(MID(INDEX(TabDH12[[#Headers],[:1]:[:19]],COLUMN()-COLUMN(TabDH12[[#Headers],[:1]])+1),2,3))</f>
        <v>0.46666666666666667</v>
      </c>
      <c r="DB13" s="39">
        <f>Grunddaten7[[#This Row],[Sitze im Hauptorgan]]/_xlfn.NUMBERVALUE(MID(INDEX(TabDH12[[#Headers],[:1]:[:19]],COLUMN()-COLUMN(TabDH12[[#Headers],[:1]])+1),2,3))</f>
        <v>0.4375</v>
      </c>
      <c r="DC13" s="39">
        <f>Grunddaten7[[#This Row],[Sitze im Hauptorgan]]/_xlfn.NUMBERVALUE(MID(INDEX(TabDH12[[#Headers],[:1]:[:19]],COLUMN()-COLUMN(TabDH12[[#Headers],[:1]])+1),2,3))</f>
        <v>0.41176470588235292</v>
      </c>
      <c r="DD13" s="39">
        <f>Grunddaten7[[#This Row],[Sitze im Hauptorgan]]/_xlfn.NUMBERVALUE(MID(INDEX(TabDH12[[#Headers],[:1]:[:19]],COLUMN()-COLUMN(TabDH12[[#Headers],[:1]])+1),2,3))</f>
        <v>0.3888888888888889</v>
      </c>
      <c r="DE13" s="40">
        <f>Grunddaten7[[#This Row],[Sitze im Hauptorgan]]/_xlfn.NUMBERVALUE(MID(INDEX(TabDH12[[#Headers],[:1]:[:19]],COLUMN()-COLUMN(TabDH12[[#Headers],[:1]])+1),2,3))</f>
        <v>0.36842105263157893</v>
      </c>
      <c r="DF13" s="41">
        <f>_xlfn.RANK.EQ(TabDH12[[#This Row],[:1]],TabDH12[[:1]:[:19]],0)</f>
        <v>7</v>
      </c>
      <c r="DG13" s="42">
        <f>_xlfn.RANK.EQ(TabDH12[[#This Row],[:2]],TabDH12[[:1]:[:19]],0)</f>
        <v>17</v>
      </c>
      <c r="DH13" s="42">
        <f>_xlfn.RANK.EQ(TabDH12[[#This Row],[:3]],TabDH12[[:1]:[:19]],0)</f>
        <v>27</v>
      </c>
      <c r="DI13" s="42">
        <f>_xlfn.RANK.EQ(TabDH12[[#This Row],[:4]],TabDH12[[:1]:[:19]],0)</f>
        <v>37</v>
      </c>
      <c r="DJ13" s="42">
        <f>_xlfn.RANK.EQ(TabDH12[[#This Row],[:5]],TabDH12[[:1]:[:19]],0)</f>
        <v>47</v>
      </c>
      <c r="DK13" s="42">
        <f>_xlfn.RANK.EQ(TabDH12[[#This Row],[:6]],TabDH12[[:1]:[:19]],0)</f>
        <v>57</v>
      </c>
      <c r="DL13" s="42">
        <f>_xlfn.RANK.EQ(TabDH12[[#This Row],[:7]],TabDH12[[:1]:[:19]],0)</f>
        <v>64</v>
      </c>
      <c r="DM13" s="42">
        <f>_xlfn.RANK.EQ(TabDH12[[#This Row],[:8]],TabDH12[[:1]:[:19]],0)</f>
        <v>74</v>
      </c>
      <c r="DN13" s="42">
        <f>_xlfn.RANK.EQ(TabDH12[[#This Row],[:9]],TabDH12[[:1]:[:19]],0)</f>
        <v>80</v>
      </c>
      <c r="DO13" s="42">
        <f>_xlfn.RANK.EQ(TabDH12[[#This Row],[:10]],TabDH12[[:1]:[:19]],0)</f>
        <v>85</v>
      </c>
      <c r="DP13" s="42">
        <f>_xlfn.RANK.EQ(TabDH12[[#This Row],[:11]],TabDH12[[:1]:[:19]],0)</f>
        <v>89</v>
      </c>
      <c r="DQ13" s="42">
        <f>_xlfn.RANK.EQ(TabDH12[[#This Row],[:12]],TabDH12[[:1]:[:19]],0)</f>
        <v>94</v>
      </c>
      <c r="DR13" s="42">
        <f>_xlfn.RANK.EQ(TabDH12[[#This Row],[:13]],TabDH12[[:1]:[:19]],0)</f>
        <v>99</v>
      </c>
      <c r="DS13" s="42">
        <f>_xlfn.RANK.EQ(TabDH12[[#This Row],[:14]],TabDH12[[:1]:[:19]],0)</f>
        <v>102</v>
      </c>
      <c r="DT13" s="42">
        <f>_xlfn.RANK.EQ(TabDH12[[#This Row],[:15]],TabDH12[[:1]:[:19]],0)</f>
        <v>107</v>
      </c>
      <c r="DU13" s="42">
        <f>_xlfn.RANK.EQ(TabDH12[[#This Row],[:16]],TabDH12[[:1]:[:19]],0)</f>
        <v>111</v>
      </c>
      <c r="DV13" s="42">
        <f>_xlfn.RANK.EQ(TabDH12[[#This Row],[:17]],TabDH12[[:1]:[:19]],0)</f>
        <v>114</v>
      </c>
      <c r="DW13" s="42">
        <f>_xlfn.RANK.EQ(TabDH12[[#This Row],[:18]],TabDH12[[:1]:[:19]],0)</f>
        <v>116</v>
      </c>
      <c r="DX13" s="43">
        <f>_xlfn.RANK.EQ(TabDH12[[#This Row],[:19]],TabDH12[[:1]:[:19]],0)</f>
        <v>118</v>
      </c>
      <c r="DY13" s="44" t="str">
        <f>IF(TabDH12[[#This Row],[R1]]&lt;=Sitze_Ausschuss,IF(TabDH12[[#This Row],[R1]]+COUNTIF(TabDH12[[R1]:[R19]],TabDH12[[#This Row],[R1]])-1&lt;=Sitze_Ausschuss,"SITZ","PATT"),"")</f>
        <v>SITZ</v>
      </c>
      <c r="DZ13" s="45" t="str">
        <f>IF(TabDH12[[#This Row],[R2]]&lt;=Sitze_Ausschuss,IF(TabDH12[[#This Row],[R2]]+COUNTIF(TabDH12[[R1]:[R19]],TabDH12[[#This Row],[R2]])-1&lt;=Sitze_Ausschuss,"SITZ","PATT"),"")</f>
        <v/>
      </c>
      <c r="EA13" s="45" t="str">
        <f>IF(TabDH12[[#This Row],[R3]]&lt;=Sitze_Ausschuss,IF(TabDH12[[#This Row],[R3]]+COUNTIF(TabDH12[[R1]:[R19]],TabDH12[[#This Row],[R3]])-1&lt;=Sitze_Ausschuss,"SITZ","PATT"),"")</f>
        <v/>
      </c>
      <c r="EB13" s="45" t="str">
        <f>IF(TabDH12[[#This Row],[R4]]&lt;=Sitze_Ausschuss,IF(TabDH12[[#This Row],[R4]]+COUNTIF(TabDH12[[R1]:[R19]],TabDH12[[#This Row],[R4]])-1&lt;=Sitze_Ausschuss,"SITZ","PATT"),"")</f>
        <v/>
      </c>
      <c r="EC13" s="45" t="str">
        <f>IF(TabDH12[[#This Row],[R5]]&lt;=Sitze_Ausschuss,IF(TabDH12[[#This Row],[R5]]+COUNTIF(TabDH12[[R1]:[R19]],TabDH12[[#This Row],[R5]])-1&lt;=Sitze_Ausschuss,"SITZ","PATT"),"")</f>
        <v/>
      </c>
      <c r="ED13" s="45" t="str">
        <f>IF(TabDH12[[#This Row],[R6]]&lt;=Sitze_Ausschuss,IF(TabDH12[[#This Row],[R6]]+COUNTIF(TabDH12[[R1]:[R19]],TabDH12[[#This Row],[R6]])-1&lt;=Sitze_Ausschuss,"SITZ","PATT"),"")</f>
        <v/>
      </c>
      <c r="EE13" s="45" t="str">
        <f>IF(TabDH12[[#This Row],[R7]]&lt;=Sitze_Ausschuss,IF(TabDH12[[#This Row],[R7]]+COUNTIF(TabDH12[[R1]:[R19]],TabDH12[[#This Row],[R7]])-1&lt;=Sitze_Ausschuss,"SITZ","PATT"),"")</f>
        <v/>
      </c>
      <c r="EF13" s="45" t="str">
        <f>IF(TabDH12[[#This Row],[R8]]&lt;=Sitze_Ausschuss,IF(TabDH12[[#This Row],[R8]]+COUNTIF(TabDH12[[R1]:[R19]],TabDH12[[#This Row],[R8]])-1&lt;=Sitze_Ausschuss,"SITZ","PATT"),"")</f>
        <v/>
      </c>
      <c r="EG13" s="45" t="str">
        <f>IF(TabDH12[[#This Row],[R9]]&lt;=Sitze_Ausschuss,IF(TabDH12[[#This Row],[R9]]+COUNTIF(TabDH12[[R1]:[R19]],TabDH12[[#This Row],[R9]])-1&lt;=Sitze_Ausschuss,"SITZ","PATT"),"")</f>
        <v/>
      </c>
      <c r="EH13" s="45" t="str">
        <f>IF(TabDH12[[#This Row],[R10]]&lt;=Sitze_Ausschuss,IF(TabDH12[[#This Row],[R10]]+COUNTIF(TabDH12[[R1]:[R19]],TabDH12[[#This Row],[R10]])-1&lt;=Sitze_Ausschuss,"SITZ","PATT"),"")</f>
        <v/>
      </c>
      <c r="EI13" s="45" t="str">
        <f>IF(TabDH12[[#This Row],[R11]]&lt;=Sitze_Ausschuss,IF(TabDH12[[#This Row],[R11]]+COUNTIF(TabDH12[[R1]:[R19]],TabDH12[[#This Row],[R11]])-1&lt;=Sitze_Ausschuss,"SITZ","PATT"),"")</f>
        <v/>
      </c>
      <c r="EJ13" s="45" t="str">
        <f>IF(TabDH12[[#This Row],[R12]]&lt;=Sitze_Ausschuss,IF(TabDH12[[#This Row],[R12]]+COUNTIF(TabDH12[[R1]:[R19]],TabDH12[[#This Row],[R12]])-1&lt;=Sitze_Ausschuss,"SITZ","PATT"),"")</f>
        <v/>
      </c>
      <c r="EK13" s="45" t="str">
        <f>IF(TabDH12[[#This Row],[R13]]&lt;=Sitze_Ausschuss,IF(TabDH12[[#This Row],[R13]]+COUNTIF(TabDH12[[R1]:[R19]],TabDH12[[#This Row],[R13]])-1&lt;=Sitze_Ausschuss,"SITZ","PATT"),"")</f>
        <v/>
      </c>
      <c r="EL13" s="45" t="str">
        <f>IF(TabDH12[[#This Row],[R14]]&lt;=Sitze_Ausschuss,IF(TabDH12[[#This Row],[R14]]+COUNTIF(TabDH12[[R1]:[R19]],TabDH12[[#This Row],[R14]])-1&lt;=Sitze_Ausschuss,"SITZ","PATT"),"")</f>
        <v/>
      </c>
      <c r="EM13" s="45" t="str">
        <f>IF(TabDH12[[#This Row],[R15]]&lt;=Sitze_Ausschuss,IF(TabDH12[[#This Row],[R15]]+COUNTIF(TabDH12[[R1]:[R19]],TabDH12[[#This Row],[R15]])-1&lt;=Sitze_Ausschuss,"SITZ","PATT"),"")</f>
        <v/>
      </c>
      <c r="EN13" s="45" t="str">
        <f>IF(TabDH12[[#This Row],[R16]]&lt;=Sitze_Ausschuss,IF(TabDH12[[#This Row],[R16]]+COUNTIF(TabDH12[[R1]:[R19]],TabDH12[[#This Row],[R16]])-1&lt;=Sitze_Ausschuss,"SITZ","PATT"),"")</f>
        <v/>
      </c>
      <c r="EO13" s="45" t="str">
        <f>IF(TabDH12[[#This Row],[R17]]&lt;=Sitze_Ausschuss,IF(TabDH12[[#This Row],[R17]]+COUNTIF(TabDH12[[R1]:[R19]],TabDH12[[#This Row],[R17]])-1&lt;=Sitze_Ausschuss,"SITZ","PATT"),"")</f>
        <v/>
      </c>
      <c r="EP13" s="45" t="str">
        <f>IF(TabDH12[[#This Row],[R18]]&lt;=Sitze_Ausschuss,IF(TabDH12[[#This Row],[R18]]+COUNTIF(TabDH12[[R1]:[R19]],TabDH12[[#This Row],[R18]])-1&lt;=Sitze_Ausschuss,"SITZ","PATT"),"")</f>
        <v/>
      </c>
      <c r="EQ13" s="45" t="str">
        <f>IF(TabDH12[[#This Row],[R19]]&lt;=Sitze_Ausschuss,IF(TabDH12[[#This Row],[R19]]+COUNTIF(TabDH12[[R1]:[R19]],TabDH12[[#This Row],[R19]])-1&lt;=Sitze_Ausschuss,"SITZ","PATT"),"")</f>
        <v/>
      </c>
      <c r="ER13" s="47" t="b">
        <f>COUNTIF(TabDH12[[#This Row],[SP1]:[SP19]],"PATT")&gt;0</f>
        <v>0</v>
      </c>
      <c r="ES13" s="33">
        <f>IF(TabDH12[[#This Row],[Patt]],(Sitze_Ausschuss-SUM(TabDH12[Sitze]))/TabDH12[[#Totals],[Patt]],0)</f>
        <v>0</v>
      </c>
      <c r="ET13" s="48">
        <f>TabDH12[[#This Row],[Patt]]*IF(Pattaufloesung="Stimmen",TabPatt11[[#This Row],[Stimmen]],0)*1</f>
        <v>0</v>
      </c>
      <c r="EU13" s="49" t="b">
        <f>_xlfn.RANK.EQ(TabDH12[[#This Row],[Stimmen/Gelost]],TabDH12[Stimmen/Gelost],0)&lt;=(Sitze_Ausschuss-SUM(TabDH12[Sitze]))</f>
        <v>1</v>
      </c>
      <c r="EV13" s="50" t="b">
        <f>OR(TabDH12[[#This Row],[Sitze]]&lt;ROUNDDOWN(Grunddaten7[[#This Row],[Proporzgenaue Zahl Ausschuss]],0),TabDH12[[#This Row],[Sitze]]+(TabDH12[[#This Row],[Patt]]*1)&gt;ROUNDUP(Grunddaten7[[#This Row],[Proporzgenaue Zahl Ausschuss]],0))</f>
        <v>0</v>
      </c>
      <c r="EW13" s="3"/>
      <c r="EX13" s="51" t="str">
        <f>Grunddaten7[[#This Row],[Partei/Wählergruppe]]&amp;""</f>
        <v>AG2 [FDP LIN Bay]</v>
      </c>
      <c r="EY13" s="51">
        <f t="shared" si="6"/>
        <v>0</v>
      </c>
      <c r="EZ13" s="3"/>
      <c r="FA13" s="3"/>
      <c r="FB13" s="3"/>
      <c r="FC13" s="3"/>
      <c r="FD13" s="3"/>
    </row>
    <row r="14" spans="1:166" x14ac:dyDescent="0.25">
      <c r="A14" s="3"/>
      <c r="B14" s="89" t="str">
        <f t="shared" si="0"/>
        <v/>
      </c>
      <c r="C14" s="91">
        <f t="shared" si="1"/>
        <v>0</v>
      </c>
      <c r="D14" s="168">
        <f>Grunddaten7[[#This Row],[Sitze im Hauptorgan]]/Grunddaten7[[#Totals],[Sitze im Hauptorgan]]*Sitze_Ausschuss</f>
        <v>0</v>
      </c>
      <c r="E14" s="159">
        <f>IF(ROUNDDOWN(Grunddaten7[[#This Row],[Proporzgenaue Zahl Ausschuss]],0)&lt;&gt;ROUNDUP(Grunddaten7[[#This Row],[Proporzgenaue Zahl Ausschuss]],0), ROUNDDOWN(Grunddaten7[[#This Row],[Proporzgenaue Zahl Ausschuss]],0)&amp;" oder "&amp;ROUNDUP(Grunddaten7[[#This Row],[Proporzgenaue Zahl Ausschuss]],0),ROUND(Grunddaten7[[#This Row],[Proporzgenaue Zahl Ausschuss]],0))</f>
        <v>0</v>
      </c>
      <c r="F14" s="52" t="str">
        <f t="shared" si="2"/>
        <v>OK</v>
      </c>
      <c r="G14" s="52" t="str">
        <f>IF(TabSLS10[[#This Row],[QK verletzt]],"NOK","OK")</f>
        <v>OK</v>
      </c>
      <c r="H14" s="53" t="str">
        <f>IF(TabDH12[[#This Row],[QK verletzt]],"NOK","OK")</f>
        <v>OK</v>
      </c>
      <c r="I14" s="163">
        <f t="shared" si="3"/>
        <v>0</v>
      </c>
      <c r="J14" s="163">
        <f t="shared" si="4"/>
        <v>0</v>
      </c>
      <c r="K14" s="163">
        <f t="shared" si="5"/>
        <v>0</v>
      </c>
      <c r="L14" s="3"/>
      <c r="M14" s="92">
        <f>TabHN9[[#This Row],[S ganz]]+IF(NOT(TabHN9[[#This Row],[Patt]]),TabHN9[[#This Row],[Restsitz]],0)</f>
        <v>0</v>
      </c>
      <c r="N14" s="162">
        <f>IF(TabHN9[[#This Row],[Patt]],IF(Pattaufloesung="Los-Chance",TabHN9[[#This Row],[Los Chance]],TabHN9[[#This Row],[Pattgewinn]]+0),0)</f>
        <v>0</v>
      </c>
      <c r="O14" s="30">
        <f>INT(Grunddaten7[[#This Row],[Proporzgenaue Zahl Ausschuss]])</f>
        <v>0</v>
      </c>
      <c r="P14" s="31">
        <f>ROUND(Grunddaten7[[#This Row],[Proporzgenaue Zahl Ausschuss]]-TabHN9[[#This Row],[S ganz]],4)</f>
        <v>0</v>
      </c>
      <c r="Q14" s="32">
        <f>_xlfn.RANK.EQ(TabHN9[[#This Row],[S Rest]],TabHN9[S Rest],0)</f>
        <v>5</v>
      </c>
      <c r="R14" s="30">
        <f>IF(TabHN9[[#This Row],[Rng Rest]]&lt;=TabHN9[[#Totals],[S Rest]],1,0)</f>
        <v>0</v>
      </c>
      <c r="S14" s="30" t="b">
        <f>AND(TabHN9[[#This Row],[Restsitz]]=1,(COUNTIF(TabHN9[Rng Rest],TabHN9[[#This Row],[Rng Rest]])+TabHN9[[#This Row],[Rng Rest]]-1)&gt;TabHN9[[#Totals],[S Rest]])</f>
        <v>0</v>
      </c>
      <c r="T14" s="33">
        <f>IF(TabHN9[[#This Row],[Patt]],(Sitze_Ausschuss-SUM(TabHN9[Sitze]))/TabHN9[[#Totals],[Patt]],0)</f>
        <v>0</v>
      </c>
      <c r="U14" s="34">
        <f>TabHN9[[#This Row],[Patt]]*IF(Pattaufloesung="Stimmen",TabPatt11[[#This Row],[Stimmen]],0)*1</f>
        <v>0</v>
      </c>
      <c r="V14" s="35" t="b">
        <f>_xlfn.RANK.EQ(TabHN9[[#This Row],[Stimmen/Gelost]],TabHN9[Stimmen/Gelost],0)&lt;=(Sitze_Ausschuss-SUM(TabHN9[Sitze]))</f>
        <v>0</v>
      </c>
      <c r="W14" s="3"/>
      <c r="X14" s="36">
        <f>COUNTIF(TabSLS10[[#This Row],[SP1]:[SP37]],"SITZ")</f>
        <v>0</v>
      </c>
      <c r="Y14" s="37">
        <f>IF(TabSLS10[[#This Row],[Patt?]],IF(Pattaufloesung="Los-Chance",TabSLS10[[#This Row],[Los Chance]],TabSLS10[[#This Row],[Pattgewinn]]+0),0)</f>
        <v>0</v>
      </c>
      <c r="Z14" s="38">
        <f>Grunddaten7[[#This Row],[Sitze im Hauptorgan]]/_xlfn.NUMBERVALUE(MID(INDEX(TabSLS10[[#Headers],[:1]:[:37]],COLUMN()-COLUMN(TabSLS10[[#Headers],[:1]])+1),2,3))</f>
        <v>0</v>
      </c>
      <c r="AA14" s="39">
        <f>Grunddaten7[[#This Row],[Sitze im Hauptorgan]]/_xlfn.NUMBERVALUE(MID(INDEX(TabSLS10[[#Headers],[:1]:[:37]],COLUMN()-COLUMN(TabSLS10[[#Headers],[:1]])+1),2,3))</f>
        <v>0</v>
      </c>
      <c r="AB14" s="39">
        <f>Grunddaten7[[#This Row],[Sitze im Hauptorgan]]/_xlfn.NUMBERVALUE(MID(INDEX(TabSLS10[[#Headers],[:1]:[:37]],COLUMN()-COLUMN(TabSLS10[[#Headers],[:1]])+1),2,3))</f>
        <v>0</v>
      </c>
      <c r="AC14" s="39">
        <f>Grunddaten7[[#This Row],[Sitze im Hauptorgan]]/_xlfn.NUMBERVALUE(MID(INDEX(TabSLS10[[#Headers],[:1]:[:37]],COLUMN()-COLUMN(TabSLS10[[#Headers],[:1]])+1),2,3))</f>
        <v>0</v>
      </c>
      <c r="AD14" s="39">
        <f>Grunddaten7[[#This Row],[Sitze im Hauptorgan]]/_xlfn.NUMBERVALUE(MID(INDEX(TabSLS10[[#Headers],[:1]:[:37]],COLUMN()-COLUMN(TabSLS10[[#Headers],[:1]])+1),2,3))</f>
        <v>0</v>
      </c>
      <c r="AE14" s="39">
        <f>Grunddaten7[[#This Row],[Sitze im Hauptorgan]]/_xlfn.NUMBERVALUE(MID(INDEX(TabSLS10[[#Headers],[:1]:[:37]],COLUMN()-COLUMN(TabSLS10[[#Headers],[:1]])+1),2,3))</f>
        <v>0</v>
      </c>
      <c r="AF14" s="39">
        <f>Grunddaten7[[#This Row],[Sitze im Hauptorgan]]/_xlfn.NUMBERVALUE(MID(INDEX(TabSLS10[[#Headers],[:1]:[:37]],COLUMN()-COLUMN(TabSLS10[[#Headers],[:1]])+1),2,3))</f>
        <v>0</v>
      </c>
      <c r="AG14" s="39">
        <f>Grunddaten7[[#This Row],[Sitze im Hauptorgan]]/_xlfn.NUMBERVALUE(MID(INDEX(TabSLS10[[#Headers],[:1]:[:37]],COLUMN()-COLUMN(TabSLS10[[#Headers],[:1]])+1),2,3))</f>
        <v>0</v>
      </c>
      <c r="AH14" s="39">
        <f>Grunddaten7[[#This Row],[Sitze im Hauptorgan]]/_xlfn.NUMBERVALUE(MID(INDEX(TabSLS10[[#Headers],[:1]:[:37]],COLUMN()-COLUMN(TabSLS10[[#Headers],[:1]])+1),2,3))</f>
        <v>0</v>
      </c>
      <c r="AI14" s="39">
        <f>Grunddaten7[[#This Row],[Sitze im Hauptorgan]]/_xlfn.NUMBERVALUE(MID(INDEX(TabSLS10[[#Headers],[:1]:[:37]],COLUMN()-COLUMN(TabSLS10[[#Headers],[:1]])+1),2,3))</f>
        <v>0</v>
      </c>
      <c r="AJ14" s="39">
        <f>Grunddaten7[[#This Row],[Sitze im Hauptorgan]]/_xlfn.NUMBERVALUE(MID(INDEX(TabSLS10[[#Headers],[:1]:[:37]],COLUMN()-COLUMN(TabSLS10[[#Headers],[:1]])+1),2,3))</f>
        <v>0</v>
      </c>
      <c r="AK14" s="39">
        <f>Grunddaten7[[#This Row],[Sitze im Hauptorgan]]/_xlfn.NUMBERVALUE(MID(INDEX(TabSLS10[[#Headers],[:1]:[:37]],COLUMN()-COLUMN(TabSLS10[[#Headers],[:1]])+1),2,3))</f>
        <v>0</v>
      </c>
      <c r="AL14" s="39">
        <f>Grunddaten7[[#This Row],[Sitze im Hauptorgan]]/_xlfn.NUMBERVALUE(MID(INDEX(TabSLS10[[#Headers],[:1]:[:37]],COLUMN()-COLUMN(TabSLS10[[#Headers],[:1]])+1),2,3))</f>
        <v>0</v>
      </c>
      <c r="AM14" s="39">
        <f>Grunddaten7[[#This Row],[Sitze im Hauptorgan]]/_xlfn.NUMBERVALUE(MID(INDEX(TabSLS10[[#Headers],[:1]:[:37]],COLUMN()-COLUMN(TabSLS10[[#Headers],[:1]])+1),2,3))</f>
        <v>0</v>
      </c>
      <c r="AN14" s="39">
        <f>Grunddaten7[[#This Row],[Sitze im Hauptorgan]]/_xlfn.NUMBERVALUE(MID(INDEX(TabSLS10[[#Headers],[:1]:[:37]],COLUMN()-COLUMN(TabSLS10[[#Headers],[:1]])+1),2,3))</f>
        <v>0</v>
      </c>
      <c r="AO14" s="39">
        <f>Grunddaten7[[#This Row],[Sitze im Hauptorgan]]/_xlfn.NUMBERVALUE(MID(INDEX(TabSLS10[[#Headers],[:1]:[:37]],COLUMN()-COLUMN(TabSLS10[[#Headers],[:1]])+1),2,3))</f>
        <v>0</v>
      </c>
      <c r="AP14" s="39">
        <f>Grunddaten7[[#This Row],[Sitze im Hauptorgan]]/_xlfn.NUMBERVALUE(MID(INDEX(TabSLS10[[#Headers],[:1]:[:37]],COLUMN()-COLUMN(TabSLS10[[#Headers],[:1]])+1),2,3))</f>
        <v>0</v>
      </c>
      <c r="AQ14" s="39">
        <f>Grunddaten7[[#This Row],[Sitze im Hauptorgan]]/_xlfn.NUMBERVALUE(MID(INDEX(TabSLS10[[#Headers],[:1]:[:37]],COLUMN()-COLUMN(TabSLS10[[#Headers],[:1]])+1),2,3))</f>
        <v>0</v>
      </c>
      <c r="AR14" s="40">
        <f>Grunddaten7[[#This Row],[Sitze im Hauptorgan]]/_xlfn.NUMBERVALUE(MID(INDEX(TabSLS10[[#Headers],[:1]:[:37]],COLUMN()-COLUMN(TabSLS10[[#Headers],[:1]])+1),2,3))</f>
        <v>0</v>
      </c>
      <c r="AS14" s="41">
        <f>_xlfn.RANK.EQ(TabSLS10[[#This Row],[:1]],TabSLS10[[:1]:[:37]],0)</f>
        <v>134</v>
      </c>
      <c r="AT14" s="42">
        <f>_xlfn.RANK.EQ(TabSLS10[[#This Row],[:3]],TabSLS10[[:1]:[:37]],0)</f>
        <v>134</v>
      </c>
      <c r="AU14" s="42">
        <f>_xlfn.RANK.EQ(TabSLS10[[#This Row],[:5]],TabSLS10[[:1]:[:37]],0)</f>
        <v>134</v>
      </c>
      <c r="AV14" s="42">
        <f>_xlfn.RANK.EQ(TabSLS10[[#This Row],[:7]],TabSLS10[[:1]:[:37]],0)</f>
        <v>134</v>
      </c>
      <c r="AW14" s="42">
        <f>_xlfn.RANK.EQ(TabSLS10[[#This Row],[:9]],TabSLS10[[:1]:[:37]],0)</f>
        <v>134</v>
      </c>
      <c r="AX14" s="42">
        <f>_xlfn.RANK.EQ(TabSLS10[[#This Row],[:11]],TabSLS10[[:1]:[:37]],0)</f>
        <v>134</v>
      </c>
      <c r="AY14" s="42">
        <f>_xlfn.RANK.EQ(TabSLS10[[#This Row],[:13]],TabSLS10[[:1]:[:37]],0)</f>
        <v>134</v>
      </c>
      <c r="AZ14" s="42">
        <f>_xlfn.RANK.EQ(TabSLS10[[#This Row],[:15]],TabSLS10[[:1]:[:37]],0)</f>
        <v>134</v>
      </c>
      <c r="BA14" s="42">
        <f>_xlfn.RANK.EQ(TabSLS10[[#This Row],[:17]],TabSLS10[[:1]:[:37]],0)</f>
        <v>134</v>
      </c>
      <c r="BB14" s="42">
        <f>_xlfn.RANK.EQ(TabSLS10[[#This Row],[:19]],TabSLS10[[:1]:[:37]],0)</f>
        <v>134</v>
      </c>
      <c r="BC14" s="42">
        <f>_xlfn.RANK.EQ(TabSLS10[[#This Row],[:21]],TabSLS10[[:1]:[:37]],0)</f>
        <v>134</v>
      </c>
      <c r="BD14" s="42">
        <f>_xlfn.RANK.EQ(TabSLS10[[#This Row],[:23]],TabSLS10[[:1]:[:37]],0)</f>
        <v>134</v>
      </c>
      <c r="BE14" s="42">
        <f>_xlfn.RANK.EQ(TabSLS10[[#This Row],[:25]],TabSLS10[[:1]:[:37]],0)</f>
        <v>134</v>
      </c>
      <c r="BF14" s="42">
        <f>_xlfn.RANK.EQ(TabSLS10[[#This Row],[:27]],TabSLS10[[:1]:[:37]],0)</f>
        <v>134</v>
      </c>
      <c r="BG14" s="42">
        <f>_xlfn.RANK.EQ(TabSLS10[[#This Row],[:29]],TabSLS10[[:1]:[:37]],0)</f>
        <v>134</v>
      </c>
      <c r="BH14" s="42">
        <f>_xlfn.RANK.EQ(TabSLS10[[#This Row],[:31]],TabSLS10[[:1]:[:37]],0)</f>
        <v>134</v>
      </c>
      <c r="BI14" s="42">
        <f>_xlfn.RANK.EQ(TabSLS10[[#This Row],[:33]],TabSLS10[[:1]:[:37]],0)</f>
        <v>134</v>
      </c>
      <c r="BJ14" s="42">
        <f>_xlfn.RANK.EQ(TabSLS10[[#This Row],[:35]],TabSLS10[[:1]:[:37]],0)</f>
        <v>134</v>
      </c>
      <c r="BK14" s="43">
        <f>_xlfn.RANK.EQ(TabSLS10[[#This Row],[:37]],TabSLS10[[:1]:[:37]],0)</f>
        <v>134</v>
      </c>
      <c r="BL14" s="44" t="str">
        <f>IF(TabSLS10[[#This Row],[R1]]&lt;=Sitze_Ausschuss,IF(TabSLS10[[#This Row],[R1]]+COUNTIF(TabSLS10[[R1]:[R37]],TabSLS10[[#This Row],[R1]])-1&lt;=Sitze_Ausschuss,"SITZ","PATT"),"")</f>
        <v/>
      </c>
      <c r="BM14" s="45" t="str">
        <f>IF(TabSLS10[[#This Row],[R3]]&lt;=Sitze_Ausschuss,IF(TabSLS10[[#This Row],[R3]]+COUNTIF(TabSLS10[[R1]:[R37]],TabSLS10[[#This Row],[R3]])-1&lt;=Sitze_Ausschuss,"SITZ","PATT"),"")</f>
        <v/>
      </c>
      <c r="BN14" s="45" t="str">
        <f>IF(TabSLS10[[#This Row],[R5]]&lt;=Sitze_Ausschuss,IF(TabSLS10[[#This Row],[R5]]+COUNTIF(TabSLS10[[R1]:[R37]],TabSLS10[[#This Row],[R5]])-1&lt;=Sitze_Ausschuss,"SITZ","PATT"),"")</f>
        <v/>
      </c>
      <c r="BO14" s="45" t="str">
        <f>IF(TabSLS10[[#This Row],[R7]]&lt;=Sitze_Ausschuss,IF(TabSLS10[[#This Row],[R7]]+COUNTIF(TabSLS10[[R1]:[R37]],TabSLS10[[#This Row],[R7]])-1&lt;=Sitze_Ausschuss,"SITZ","PATT"),"")</f>
        <v/>
      </c>
      <c r="BP14" s="45" t="str">
        <f>IF(TabSLS10[[#This Row],[R9]]&lt;=Sitze_Ausschuss,IF(TabSLS10[[#This Row],[R9]]+COUNTIF(TabSLS10[[R1]:[R37]],TabSLS10[[#This Row],[R9]])-1&lt;=Sitze_Ausschuss,"SITZ","PATT"),"")</f>
        <v/>
      </c>
      <c r="BQ14" s="45" t="str">
        <f>IF(TabSLS10[[#This Row],[R11]]&lt;=Sitze_Ausschuss,IF(TabSLS10[[#This Row],[R11]]+COUNTIF(TabSLS10[[R1]:[R37]],TabSLS10[[#This Row],[R11]])-1&lt;=Sitze_Ausschuss,"SITZ","PATT"),"")</f>
        <v/>
      </c>
      <c r="BR14" s="45" t="str">
        <f>IF(TabSLS10[[#This Row],[R13]]&lt;=Sitze_Ausschuss,IF(TabSLS10[[#This Row],[R13]]+COUNTIF(TabSLS10[[R1]:[R37]],TabSLS10[[#This Row],[R13]])-1&lt;=Sitze_Ausschuss,"SITZ","PATT"),"")</f>
        <v/>
      </c>
      <c r="BS14" s="45" t="str">
        <f>IF(TabSLS10[[#This Row],[R15]]&lt;=Sitze_Ausschuss,IF(TabSLS10[[#This Row],[R15]]+COUNTIF(TabSLS10[[R1]:[R37]],TabSLS10[[#This Row],[R15]])-1&lt;=Sitze_Ausschuss,"SITZ","PATT"),"")</f>
        <v/>
      </c>
      <c r="BT14" s="45" t="str">
        <f>IF(TabSLS10[[#This Row],[R17]]&lt;=Sitze_Ausschuss,IF(TabSLS10[[#This Row],[R17]]+COUNTIF(TabSLS10[[R1]:[R37]],TabSLS10[[#This Row],[R17]])-1&lt;=Sitze_Ausschuss,"SITZ","PATT"),"")</f>
        <v/>
      </c>
      <c r="BU14" s="45" t="str">
        <f>IF(TabSLS10[[#This Row],[R19]]&lt;=Sitze_Ausschuss,IF(TabSLS10[[#This Row],[R19]]+COUNTIF(TabSLS10[[R1]:[R37]],TabSLS10[[#This Row],[R19]])-1&lt;=Sitze_Ausschuss,"SITZ","PATT"),"")</f>
        <v/>
      </c>
      <c r="BV14" s="45" t="str">
        <f>IF(TabSLS10[[#This Row],[R21]]&lt;=Sitze_Ausschuss,IF(TabSLS10[[#This Row],[R21]]+COUNTIF(TabSLS10[[R1]:[R37]],TabSLS10[[#This Row],[R21]])-1&lt;=Sitze_Ausschuss,"SITZ","PATT"),"")</f>
        <v/>
      </c>
      <c r="BW14" s="45" t="str">
        <f>IF(TabSLS10[[#This Row],[R23]]&lt;=Sitze_Ausschuss,IF(TabSLS10[[#This Row],[R23]]+COUNTIF(TabSLS10[[R1]:[R37]],TabSLS10[[#This Row],[R23]])-1&lt;=Sitze_Ausschuss,"SITZ","PATT"),"")</f>
        <v/>
      </c>
      <c r="BX14" s="45" t="str">
        <f>IF(TabSLS10[[#This Row],[R25]]&lt;=Sitze_Ausschuss,IF(TabSLS10[[#This Row],[R25]]+COUNTIF(TabSLS10[[R1]:[R37]],TabSLS10[[#This Row],[R25]])-1&lt;=Sitze_Ausschuss,"SITZ","PATT"),"")</f>
        <v/>
      </c>
      <c r="BY14" s="45" t="str">
        <f>IF(TabSLS10[[#This Row],[R27]]&lt;=Sitze_Ausschuss,IF(TabSLS10[[#This Row],[R27]]+COUNTIF(TabSLS10[[R1]:[R37]],TabSLS10[[#This Row],[R27]])-1&lt;=Sitze_Ausschuss,"SITZ","PATT"),"")</f>
        <v/>
      </c>
      <c r="BZ14" s="45" t="str">
        <f>IF(TabSLS10[[#This Row],[R29]]&lt;=Sitze_Ausschuss,IF(TabSLS10[[#This Row],[R29]]+COUNTIF(TabSLS10[[R1]:[R37]],TabSLS10[[#This Row],[R29]])-1&lt;=Sitze_Ausschuss,"SITZ","PATT"),"")</f>
        <v/>
      </c>
      <c r="CA14" s="45" t="str">
        <f>IF(TabSLS10[[#This Row],[R31]]&lt;=Sitze_Ausschuss,IF(TabSLS10[[#This Row],[R31]]+COUNTIF(TabSLS10[[R1]:[R37]],TabSLS10[[#This Row],[R31]])-1&lt;=Sitze_Ausschuss,"SITZ","PATT"),"")</f>
        <v/>
      </c>
      <c r="CB14" s="45" t="str">
        <f>IF(TabSLS10[[#This Row],[R33]]&lt;=Sitze_Ausschuss,IF(TabSLS10[[#This Row],[R33]]+COUNTIF(TabSLS10[[R1]:[R37]],TabSLS10[[#This Row],[R33]])-1&lt;=Sitze_Ausschuss,"SITZ","PATT"),"")</f>
        <v/>
      </c>
      <c r="CC14" s="45" t="str">
        <f>IF(TabSLS10[[#This Row],[R35]]&lt;=Sitze_Ausschuss,IF(TabSLS10[[#This Row],[R35]]+COUNTIF(TabSLS10[[R1]:[R37]],TabSLS10[[#This Row],[R35]])-1&lt;=Sitze_Ausschuss,"SITZ","PATT"),"")</f>
        <v/>
      </c>
      <c r="CD14" s="46" t="str">
        <f>IF(TabSLS10[[#This Row],[R37]]&lt;=Sitze_Ausschuss,IF(TabSLS10[[#This Row],[R37]]+COUNTIF(TabSLS10[[R1]:[R37]],TabSLS10[[#This Row],[R37]])-1&lt;=Sitze_Ausschuss,"SITZ","PATT"),"")</f>
        <v/>
      </c>
      <c r="CE14" s="47" t="b">
        <f>COUNTIF(TabSLS10[[#This Row],[SP1]:[SP37]],"PATT")&gt;0</f>
        <v>0</v>
      </c>
      <c r="CF14" s="33">
        <f>IF(TabSLS10[[#This Row],[Patt?]],(Sitze_Ausschuss-SUM(TabSLS10[Sitze]))/TabSLS10[[#Totals],[Patt?]],0)</f>
        <v>0</v>
      </c>
      <c r="CG14" s="48">
        <f>TabSLS10[[#This Row],[Patt?]]*IF(Pattaufloesung="Stimmen",TabPatt11[[#This Row],[Stimmen]],0)*1</f>
        <v>0</v>
      </c>
      <c r="CH14" s="49" t="b">
        <f>_xlfn.RANK.EQ(TabSLS10[[#This Row],[Stimmen Gelost]],TabSLS10[Stimmen Gelost],0)&lt;=(Sitze_Ausschuss-SUM(TabSLS10[Sitze]))</f>
        <v>0</v>
      </c>
      <c r="CI14" s="50" t="b">
        <f>OR(TabSLS10[[#This Row],[Sitze]]&lt;ROUNDDOWN(Grunddaten7[[#This Row],[Proporzgenaue Zahl Ausschuss]],0),TabSLS10[[#This Row],[Sitze]]+(TabSLS10[[#This Row],[Patt?]]*1)&gt;ROUNDUP(Grunddaten7[[#This Row],[Proporzgenaue Zahl Ausschuss]],0))</f>
        <v>0</v>
      </c>
      <c r="CJ14" s="3"/>
      <c r="CK14" s="36">
        <f>COUNTIF(TabDH12[[#This Row],[SP1]:[SP19]],"SITZ")</f>
        <v>0</v>
      </c>
      <c r="CL14" s="37">
        <f>IF(TabDH12[[#This Row],[Patt]],IF(Pattaufloesung="Los-Chance",TabDH12[[#This Row],[Los Chance]],TabDH12[[#This Row],[Pattgewinn]]+0),0)</f>
        <v>0</v>
      </c>
      <c r="CM14" s="38">
        <f>Grunddaten7[[#This Row],[Sitze im Hauptorgan]]/_xlfn.NUMBERVALUE(MID(INDEX(TabDH12[[#Headers],[:1]:[:19]],COLUMN()-COLUMN(TabDH12[[#Headers],[:1]])+1),2,3))</f>
        <v>0</v>
      </c>
      <c r="CN14" s="39">
        <f>Grunddaten7[[#This Row],[Sitze im Hauptorgan]]/_xlfn.NUMBERVALUE(MID(INDEX(TabDH12[[#Headers],[:1]:[:19]],COLUMN()-COLUMN(TabDH12[[#Headers],[:1]])+1),2,3))</f>
        <v>0</v>
      </c>
      <c r="CO14" s="39">
        <f>Grunddaten7[[#This Row],[Sitze im Hauptorgan]]/_xlfn.NUMBERVALUE(MID(INDEX(TabDH12[[#Headers],[:1]:[:19]],COLUMN()-COLUMN(TabDH12[[#Headers],[:1]])+1),2,3))</f>
        <v>0</v>
      </c>
      <c r="CP14" s="39">
        <f>Grunddaten7[[#This Row],[Sitze im Hauptorgan]]/_xlfn.NUMBERVALUE(MID(INDEX(TabDH12[[#Headers],[:1]:[:19]],COLUMN()-COLUMN(TabDH12[[#Headers],[:1]])+1),2,3))</f>
        <v>0</v>
      </c>
      <c r="CQ14" s="39">
        <f>Grunddaten7[[#This Row],[Sitze im Hauptorgan]]/_xlfn.NUMBERVALUE(MID(INDEX(TabDH12[[#Headers],[:1]:[:19]],COLUMN()-COLUMN(TabDH12[[#Headers],[:1]])+1),2,3))</f>
        <v>0</v>
      </c>
      <c r="CR14" s="39">
        <f>Grunddaten7[[#This Row],[Sitze im Hauptorgan]]/_xlfn.NUMBERVALUE(MID(INDEX(TabDH12[[#Headers],[:1]:[:19]],COLUMN()-COLUMN(TabDH12[[#Headers],[:1]])+1),2,3))</f>
        <v>0</v>
      </c>
      <c r="CS14" s="39">
        <f>Grunddaten7[[#This Row],[Sitze im Hauptorgan]]/_xlfn.NUMBERVALUE(MID(INDEX(TabDH12[[#Headers],[:1]:[:19]],COLUMN()-COLUMN(TabDH12[[#Headers],[:1]])+1),2,3))</f>
        <v>0</v>
      </c>
      <c r="CT14" s="39">
        <f>Grunddaten7[[#This Row],[Sitze im Hauptorgan]]/_xlfn.NUMBERVALUE(MID(INDEX(TabDH12[[#Headers],[:1]:[:19]],COLUMN()-COLUMN(TabDH12[[#Headers],[:1]])+1),2,3))</f>
        <v>0</v>
      </c>
      <c r="CU14" s="39">
        <f>Grunddaten7[[#This Row],[Sitze im Hauptorgan]]/_xlfn.NUMBERVALUE(MID(INDEX(TabDH12[[#Headers],[:1]:[:19]],COLUMN()-COLUMN(TabDH12[[#Headers],[:1]])+1),2,3))</f>
        <v>0</v>
      </c>
      <c r="CV14" s="39">
        <f>Grunddaten7[[#This Row],[Sitze im Hauptorgan]]/_xlfn.NUMBERVALUE(MID(INDEX(TabDH12[[#Headers],[:1]:[:19]],COLUMN()-COLUMN(TabDH12[[#Headers],[:1]])+1),2,3))</f>
        <v>0</v>
      </c>
      <c r="CW14" s="39">
        <f>Grunddaten7[[#This Row],[Sitze im Hauptorgan]]/_xlfn.NUMBERVALUE(MID(INDEX(TabDH12[[#Headers],[:1]:[:19]],COLUMN()-COLUMN(TabDH12[[#Headers],[:1]])+1),2,3))</f>
        <v>0</v>
      </c>
      <c r="CX14" s="39">
        <f>Grunddaten7[[#This Row],[Sitze im Hauptorgan]]/_xlfn.NUMBERVALUE(MID(INDEX(TabDH12[[#Headers],[:1]:[:19]],COLUMN()-COLUMN(TabDH12[[#Headers],[:1]])+1),2,3))</f>
        <v>0</v>
      </c>
      <c r="CY14" s="39">
        <f>Grunddaten7[[#This Row],[Sitze im Hauptorgan]]/_xlfn.NUMBERVALUE(MID(INDEX(TabDH12[[#Headers],[:1]:[:19]],COLUMN()-COLUMN(TabDH12[[#Headers],[:1]])+1),2,3))</f>
        <v>0</v>
      </c>
      <c r="CZ14" s="39">
        <f>Grunddaten7[[#This Row],[Sitze im Hauptorgan]]/_xlfn.NUMBERVALUE(MID(INDEX(TabDH12[[#Headers],[:1]:[:19]],COLUMN()-COLUMN(TabDH12[[#Headers],[:1]])+1),2,3))</f>
        <v>0</v>
      </c>
      <c r="DA14" s="39">
        <f>Grunddaten7[[#This Row],[Sitze im Hauptorgan]]/_xlfn.NUMBERVALUE(MID(INDEX(TabDH12[[#Headers],[:1]:[:19]],COLUMN()-COLUMN(TabDH12[[#Headers],[:1]])+1),2,3))</f>
        <v>0</v>
      </c>
      <c r="DB14" s="39">
        <f>Grunddaten7[[#This Row],[Sitze im Hauptorgan]]/_xlfn.NUMBERVALUE(MID(INDEX(TabDH12[[#Headers],[:1]:[:19]],COLUMN()-COLUMN(TabDH12[[#Headers],[:1]])+1),2,3))</f>
        <v>0</v>
      </c>
      <c r="DC14" s="39">
        <f>Grunddaten7[[#This Row],[Sitze im Hauptorgan]]/_xlfn.NUMBERVALUE(MID(INDEX(TabDH12[[#Headers],[:1]:[:19]],COLUMN()-COLUMN(TabDH12[[#Headers],[:1]])+1),2,3))</f>
        <v>0</v>
      </c>
      <c r="DD14" s="39">
        <f>Grunddaten7[[#This Row],[Sitze im Hauptorgan]]/_xlfn.NUMBERVALUE(MID(INDEX(TabDH12[[#Headers],[:1]:[:19]],COLUMN()-COLUMN(TabDH12[[#Headers],[:1]])+1),2,3))</f>
        <v>0</v>
      </c>
      <c r="DE14" s="40">
        <f>Grunddaten7[[#This Row],[Sitze im Hauptorgan]]/_xlfn.NUMBERVALUE(MID(INDEX(TabDH12[[#Headers],[:1]:[:19]],COLUMN()-COLUMN(TabDH12[[#Headers],[:1]])+1),2,3))</f>
        <v>0</v>
      </c>
      <c r="DF14" s="41">
        <f>_xlfn.RANK.EQ(TabDH12[[#This Row],[:1]],TabDH12[[:1]:[:19]],0)</f>
        <v>134</v>
      </c>
      <c r="DG14" s="42">
        <f>_xlfn.RANK.EQ(TabDH12[[#This Row],[:2]],TabDH12[[:1]:[:19]],0)</f>
        <v>134</v>
      </c>
      <c r="DH14" s="42">
        <f>_xlfn.RANK.EQ(TabDH12[[#This Row],[:3]],TabDH12[[:1]:[:19]],0)</f>
        <v>134</v>
      </c>
      <c r="DI14" s="42">
        <f>_xlfn.RANK.EQ(TabDH12[[#This Row],[:4]],TabDH12[[:1]:[:19]],0)</f>
        <v>134</v>
      </c>
      <c r="DJ14" s="42">
        <f>_xlfn.RANK.EQ(TabDH12[[#This Row],[:5]],TabDH12[[:1]:[:19]],0)</f>
        <v>134</v>
      </c>
      <c r="DK14" s="42">
        <f>_xlfn.RANK.EQ(TabDH12[[#This Row],[:6]],TabDH12[[:1]:[:19]],0)</f>
        <v>134</v>
      </c>
      <c r="DL14" s="42">
        <f>_xlfn.RANK.EQ(TabDH12[[#This Row],[:7]],TabDH12[[:1]:[:19]],0)</f>
        <v>134</v>
      </c>
      <c r="DM14" s="42">
        <f>_xlfn.RANK.EQ(TabDH12[[#This Row],[:8]],TabDH12[[:1]:[:19]],0)</f>
        <v>134</v>
      </c>
      <c r="DN14" s="42">
        <f>_xlfn.RANK.EQ(TabDH12[[#This Row],[:9]],TabDH12[[:1]:[:19]],0)</f>
        <v>134</v>
      </c>
      <c r="DO14" s="42">
        <f>_xlfn.RANK.EQ(TabDH12[[#This Row],[:10]],TabDH12[[:1]:[:19]],0)</f>
        <v>134</v>
      </c>
      <c r="DP14" s="42">
        <f>_xlfn.RANK.EQ(TabDH12[[#This Row],[:11]],TabDH12[[:1]:[:19]],0)</f>
        <v>134</v>
      </c>
      <c r="DQ14" s="42">
        <f>_xlfn.RANK.EQ(TabDH12[[#This Row],[:12]],TabDH12[[:1]:[:19]],0)</f>
        <v>134</v>
      </c>
      <c r="DR14" s="42">
        <f>_xlfn.RANK.EQ(TabDH12[[#This Row],[:13]],TabDH12[[:1]:[:19]],0)</f>
        <v>134</v>
      </c>
      <c r="DS14" s="42">
        <f>_xlfn.RANK.EQ(TabDH12[[#This Row],[:14]],TabDH12[[:1]:[:19]],0)</f>
        <v>134</v>
      </c>
      <c r="DT14" s="42">
        <f>_xlfn.RANK.EQ(TabDH12[[#This Row],[:15]],TabDH12[[:1]:[:19]],0)</f>
        <v>134</v>
      </c>
      <c r="DU14" s="42">
        <f>_xlfn.RANK.EQ(TabDH12[[#This Row],[:16]],TabDH12[[:1]:[:19]],0)</f>
        <v>134</v>
      </c>
      <c r="DV14" s="42">
        <f>_xlfn.RANK.EQ(TabDH12[[#This Row],[:17]],TabDH12[[:1]:[:19]],0)</f>
        <v>134</v>
      </c>
      <c r="DW14" s="42">
        <f>_xlfn.RANK.EQ(TabDH12[[#This Row],[:18]],TabDH12[[:1]:[:19]],0)</f>
        <v>134</v>
      </c>
      <c r="DX14" s="43">
        <f>_xlfn.RANK.EQ(TabDH12[[#This Row],[:19]],TabDH12[[:1]:[:19]],0)</f>
        <v>134</v>
      </c>
      <c r="DY14" s="44" t="str">
        <f>IF(TabDH12[[#This Row],[R1]]&lt;=Sitze_Ausschuss,IF(TabDH12[[#This Row],[R1]]+COUNTIF(TabDH12[[R1]:[R19]],TabDH12[[#This Row],[R1]])-1&lt;=Sitze_Ausschuss,"SITZ","PATT"),"")</f>
        <v/>
      </c>
      <c r="DZ14" s="45" t="str">
        <f>IF(TabDH12[[#This Row],[R2]]&lt;=Sitze_Ausschuss,IF(TabDH12[[#This Row],[R2]]+COUNTIF(TabDH12[[R1]:[R19]],TabDH12[[#This Row],[R2]])-1&lt;=Sitze_Ausschuss,"SITZ","PATT"),"")</f>
        <v/>
      </c>
      <c r="EA14" s="45" t="str">
        <f>IF(TabDH12[[#This Row],[R3]]&lt;=Sitze_Ausschuss,IF(TabDH12[[#This Row],[R3]]+COUNTIF(TabDH12[[R1]:[R19]],TabDH12[[#This Row],[R3]])-1&lt;=Sitze_Ausschuss,"SITZ","PATT"),"")</f>
        <v/>
      </c>
      <c r="EB14" s="45" t="str">
        <f>IF(TabDH12[[#This Row],[R4]]&lt;=Sitze_Ausschuss,IF(TabDH12[[#This Row],[R4]]+COUNTIF(TabDH12[[R1]:[R19]],TabDH12[[#This Row],[R4]])-1&lt;=Sitze_Ausschuss,"SITZ","PATT"),"")</f>
        <v/>
      </c>
      <c r="EC14" s="45" t="str">
        <f>IF(TabDH12[[#This Row],[R5]]&lt;=Sitze_Ausschuss,IF(TabDH12[[#This Row],[R5]]+COUNTIF(TabDH12[[R1]:[R19]],TabDH12[[#This Row],[R5]])-1&lt;=Sitze_Ausschuss,"SITZ","PATT"),"")</f>
        <v/>
      </c>
      <c r="ED14" s="45" t="str">
        <f>IF(TabDH12[[#This Row],[R6]]&lt;=Sitze_Ausschuss,IF(TabDH12[[#This Row],[R6]]+COUNTIF(TabDH12[[R1]:[R19]],TabDH12[[#This Row],[R6]])-1&lt;=Sitze_Ausschuss,"SITZ","PATT"),"")</f>
        <v/>
      </c>
      <c r="EE14" s="45" t="str">
        <f>IF(TabDH12[[#This Row],[R7]]&lt;=Sitze_Ausschuss,IF(TabDH12[[#This Row],[R7]]+COUNTIF(TabDH12[[R1]:[R19]],TabDH12[[#This Row],[R7]])-1&lt;=Sitze_Ausschuss,"SITZ","PATT"),"")</f>
        <v/>
      </c>
      <c r="EF14" s="45" t="str">
        <f>IF(TabDH12[[#This Row],[R8]]&lt;=Sitze_Ausschuss,IF(TabDH12[[#This Row],[R8]]+COUNTIF(TabDH12[[R1]:[R19]],TabDH12[[#This Row],[R8]])-1&lt;=Sitze_Ausschuss,"SITZ","PATT"),"")</f>
        <v/>
      </c>
      <c r="EG14" s="45" t="str">
        <f>IF(TabDH12[[#This Row],[R9]]&lt;=Sitze_Ausschuss,IF(TabDH12[[#This Row],[R9]]+COUNTIF(TabDH12[[R1]:[R19]],TabDH12[[#This Row],[R9]])-1&lt;=Sitze_Ausschuss,"SITZ","PATT"),"")</f>
        <v/>
      </c>
      <c r="EH14" s="45" t="str">
        <f>IF(TabDH12[[#This Row],[R10]]&lt;=Sitze_Ausschuss,IF(TabDH12[[#This Row],[R10]]+COUNTIF(TabDH12[[R1]:[R19]],TabDH12[[#This Row],[R10]])-1&lt;=Sitze_Ausschuss,"SITZ","PATT"),"")</f>
        <v/>
      </c>
      <c r="EI14" s="45" t="str">
        <f>IF(TabDH12[[#This Row],[R11]]&lt;=Sitze_Ausschuss,IF(TabDH12[[#This Row],[R11]]+COUNTIF(TabDH12[[R1]:[R19]],TabDH12[[#This Row],[R11]])-1&lt;=Sitze_Ausschuss,"SITZ","PATT"),"")</f>
        <v/>
      </c>
      <c r="EJ14" s="45" t="str">
        <f>IF(TabDH12[[#This Row],[R12]]&lt;=Sitze_Ausschuss,IF(TabDH12[[#This Row],[R12]]+COUNTIF(TabDH12[[R1]:[R19]],TabDH12[[#This Row],[R12]])-1&lt;=Sitze_Ausschuss,"SITZ","PATT"),"")</f>
        <v/>
      </c>
      <c r="EK14" s="45" t="str">
        <f>IF(TabDH12[[#This Row],[R13]]&lt;=Sitze_Ausschuss,IF(TabDH12[[#This Row],[R13]]+COUNTIF(TabDH12[[R1]:[R19]],TabDH12[[#This Row],[R13]])-1&lt;=Sitze_Ausschuss,"SITZ","PATT"),"")</f>
        <v/>
      </c>
      <c r="EL14" s="45" t="str">
        <f>IF(TabDH12[[#This Row],[R14]]&lt;=Sitze_Ausschuss,IF(TabDH12[[#This Row],[R14]]+COUNTIF(TabDH12[[R1]:[R19]],TabDH12[[#This Row],[R14]])-1&lt;=Sitze_Ausschuss,"SITZ","PATT"),"")</f>
        <v/>
      </c>
      <c r="EM14" s="45" t="str">
        <f>IF(TabDH12[[#This Row],[R15]]&lt;=Sitze_Ausschuss,IF(TabDH12[[#This Row],[R15]]+COUNTIF(TabDH12[[R1]:[R19]],TabDH12[[#This Row],[R15]])-1&lt;=Sitze_Ausschuss,"SITZ","PATT"),"")</f>
        <v/>
      </c>
      <c r="EN14" s="45" t="str">
        <f>IF(TabDH12[[#This Row],[R16]]&lt;=Sitze_Ausschuss,IF(TabDH12[[#This Row],[R16]]+COUNTIF(TabDH12[[R1]:[R19]],TabDH12[[#This Row],[R16]])-1&lt;=Sitze_Ausschuss,"SITZ","PATT"),"")</f>
        <v/>
      </c>
      <c r="EO14" s="45" t="str">
        <f>IF(TabDH12[[#This Row],[R17]]&lt;=Sitze_Ausschuss,IF(TabDH12[[#This Row],[R17]]+COUNTIF(TabDH12[[R1]:[R19]],TabDH12[[#This Row],[R17]])-1&lt;=Sitze_Ausschuss,"SITZ","PATT"),"")</f>
        <v/>
      </c>
      <c r="EP14" s="45" t="str">
        <f>IF(TabDH12[[#This Row],[R18]]&lt;=Sitze_Ausschuss,IF(TabDH12[[#This Row],[R18]]+COUNTIF(TabDH12[[R1]:[R19]],TabDH12[[#This Row],[R18]])-1&lt;=Sitze_Ausschuss,"SITZ","PATT"),"")</f>
        <v/>
      </c>
      <c r="EQ14" s="45" t="str">
        <f>IF(TabDH12[[#This Row],[R19]]&lt;=Sitze_Ausschuss,IF(TabDH12[[#This Row],[R19]]+COUNTIF(TabDH12[[R1]:[R19]],TabDH12[[#This Row],[R19]])-1&lt;=Sitze_Ausschuss,"SITZ","PATT"),"")</f>
        <v/>
      </c>
      <c r="ER14" s="47" t="b">
        <f>COUNTIF(TabDH12[[#This Row],[SP1]:[SP19]],"PATT")&gt;0</f>
        <v>0</v>
      </c>
      <c r="ES14" s="33">
        <f>IF(TabDH12[[#This Row],[Patt]],(Sitze_Ausschuss-SUM(TabDH12[Sitze]))/TabDH12[[#Totals],[Patt]],0)</f>
        <v>0</v>
      </c>
      <c r="ET14" s="48">
        <f>TabDH12[[#This Row],[Patt]]*IF(Pattaufloesung="Stimmen",TabPatt11[[#This Row],[Stimmen]],0)*1</f>
        <v>0</v>
      </c>
      <c r="EU14" s="49" t="b">
        <f>_xlfn.RANK.EQ(TabDH12[[#This Row],[Stimmen/Gelost]],TabDH12[Stimmen/Gelost],0)&lt;=(Sitze_Ausschuss-SUM(TabDH12[Sitze]))</f>
        <v>1</v>
      </c>
      <c r="EV14" s="50" t="b">
        <f>OR(TabDH12[[#This Row],[Sitze]]&lt;ROUNDDOWN(Grunddaten7[[#This Row],[Proporzgenaue Zahl Ausschuss]],0),TabDH12[[#This Row],[Sitze]]+(TabDH12[[#This Row],[Patt]]*1)&gt;ROUNDUP(Grunddaten7[[#This Row],[Proporzgenaue Zahl Ausschuss]],0))</f>
        <v>0</v>
      </c>
      <c r="EW14" s="3"/>
      <c r="EX14" s="51" t="str">
        <f>Grunddaten7[[#This Row],[Partei/Wählergruppe]]&amp;""</f>
        <v/>
      </c>
      <c r="EY14" s="51">
        <f t="shared" si="6"/>
        <v>0</v>
      </c>
      <c r="EZ14" s="3"/>
      <c r="FA14" s="3"/>
      <c r="FB14" s="3"/>
      <c r="FC14" s="3"/>
      <c r="FD14" s="3"/>
    </row>
    <row r="15" spans="1:166" x14ac:dyDescent="0.25">
      <c r="A15" s="3"/>
      <c r="B15" s="89" t="str">
        <f t="shared" si="0"/>
        <v/>
      </c>
      <c r="C15" s="91">
        <f t="shared" si="1"/>
        <v>0</v>
      </c>
      <c r="D15" s="168">
        <f>Grunddaten7[[#This Row],[Sitze im Hauptorgan]]/Grunddaten7[[#Totals],[Sitze im Hauptorgan]]*Sitze_Ausschuss</f>
        <v>0</v>
      </c>
      <c r="E15" s="159">
        <f>IF(ROUNDDOWN(Grunddaten7[[#This Row],[Proporzgenaue Zahl Ausschuss]],0)&lt;&gt;ROUNDUP(Grunddaten7[[#This Row],[Proporzgenaue Zahl Ausschuss]],0), ROUNDDOWN(Grunddaten7[[#This Row],[Proporzgenaue Zahl Ausschuss]],0)&amp;" oder "&amp;ROUNDUP(Grunddaten7[[#This Row],[Proporzgenaue Zahl Ausschuss]],0),ROUND(Grunddaten7[[#This Row],[Proporzgenaue Zahl Ausschuss]],0))</f>
        <v>0</v>
      </c>
      <c r="F15" s="52" t="str">
        <f t="shared" si="2"/>
        <v>OK</v>
      </c>
      <c r="G15" s="52" t="str">
        <f>IF(TabSLS10[[#This Row],[QK verletzt]],"NOK","OK")</f>
        <v>OK</v>
      </c>
      <c r="H15" s="53" t="str">
        <f>IF(TabDH12[[#This Row],[QK verletzt]],"NOK","OK")</f>
        <v>OK</v>
      </c>
      <c r="I15" s="163">
        <f t="shared" si="3"/>
        <v>0</v>
      </c>
      <c r="J15" s="163">
        <f t="shared" si="4"/>
        <v>0</v>
      </c>
      <c r="K15" s="163">
        <f t="shared" si="5"/>
        <v>0</v>
      </c>
      <c r="L15" s="3"/>
      <c r="M15" s="92">
        <f>TabHN9[[#This Row],[S ganz]]+IF(NOT(TabHN9[[#This Row],[Patt]]),TabHN9[[#This Row],[Restsitz]],0)</f>
        <v>0</v>
      </c>
      <c r="N15" s="162">
        <f>IF(TabHN9[[#This Row],[Patt]],IF(Pattaufloesung="Los-Chance",TabHN9[[#This Row],[Los Chance]],TabHN9[[#This Row],[Pattgewinn]]+0),0)</f>
        <v>0</v>
      </c>
      <c r="O15" s="30">
        <f>INT(Grunddaten7[[#This Row],[Proporzgenaue Zahl Ausschuss]])</f>
        <v>0</v>
      </c>
      <c r="P15" s="31">
        <f>ROUND(Grunddaten7[[#This Row],[Proporzgenaue Zahl Ausschuss]]-TabHN9[[#This Row],[S ganz]],4)</f>
        <v>0</v>
      </c>
      <c r="Q15" s="32">
        <f>_xlfn.RANK.EQ(TabHN9[[#This Row],[S Rest]],TabHN9[S Rest],0)</f>
        <v>5</v>
      </c>
      <c r="R15" s="30">
        <f>IF(TabHN9[[#This Row],[Rng Rest]]&lt;=TabHN9[[#Totals],[S Rest]],1,0)</f>
        <v>0</v>
      </c>
      <c r="S15" s="30" t="b">
        <f>AND(TabHN9[[#This Row],[Restsitz]]=1,(COUNTIF(TabHN9[Rng Rest],TabHN9[[#This Row],[Rng Rest]])+TabHN9[[#This Row],[Rng Rest]]-1)&gt;TabHN9[[#Totals],[S Rest]])</f>
        <v>0</v>
      </c>
      <c r="T15" s="33">
        <f>IF(TabHN9[[#This Row],[Patt]],(Sitze_Ausschuss-SUM(TabHN9[Sitze]))/TabHN9[[#Totals],[Patt]],0)</f>
        <v>0</v>
      </c>
      <c r="U15" s="34">
        <f>TabHN9[[#This Row],[Patt]]*IF(Pattaufloesung="Stimmen",TabPatt11[[#This Row],[Stimmen]],0)*1</f>
        <v>0</v>
      </c>
      <c r="V15" s="35" t="b">
        <f>_xlfn.RANK.EQ(TabHN9[[#This Row],[Stimmen/Gelost]],TabHN9[Stimmen/Gelost],0)&lt;=(Sitze_Ausschuss-SUM(TabHN9[Sitze]))</f>
        <v>0</v>
      </c>
      <c r="W15" s="3"/>
      <c r="X15" s="36">
        <f>COUNTIF(TabSLS10[[#This Row],[SP1]:[SP37]],"SITZ")</f>
        <v>0</v>
      </c>
      <c r="Y15" s="37">
        <f>IF(TabSLS10[[#This Row],[Patt?]],IF(Pattaufloesung="Los-Chance",TabSLS10[[#This Row],[Los Chance]],TabSLS10[[#This Row],[Pattgewinn]]+0),0)</f>
        <v>0</v>
      </c>
      <c r="Z15" s="38">
        <f>Grunddaten7[[#This Row],[Sitze im Hauptorgan]]/_xlfn.NUMBERVALUE(MID(INDEX(TabSLS10[[#Headers],[:1]:[:37]],COLUMN()-COLUMN(TabSLS10[[#Headers],[:1]])+1),2,3))</f>
        <v>0</v>
      </c>
      <c r="AA15" s="39">
        <f>Grunddaten7[[#This Row],[Sitze im Hauptorgan]]/_xlfn.NUMBERVALUE(MID(INDEX(TabSLS10[[#Headers],[:1]:[:37]],COLUMN()-COLUMN(TabSLS10[[#Headers],[:1]])+1),2,3))</f>
        <v>0</v>
      </c>
      <c r="AB15" s="39">
        <f>Grunddaten7[[#This Row],[Sitze im Hauptorgan]]/_xlfn.NUMBERVALUE(MID(INDEX(TabSLS10[[#Headers],[:1]:[:37]],COLUMN()-COLUMN(TabSLS10[[#Headers],[:1]])+1),2,3))</f>
        <v>0</v>
      </c>
      <c r="AC15" s="39">
        <f>Grunddaten7[[#This Row],[Sitze im Hauptorgan]]/_xlfn.NUMBERVALUE(MID(INDEX(TabSLS10[[#Headers],[:1]:[:37]],COLUMN()-COLUMN(TabSLS10[[#Headers],[:1]])+1),2,3))</f>
        <v>0</v>
      </c>
      <c r="AD15" s="39">
        <f>Grunddaten7[[#This Row],[Sitze im Hauptorgan]]/_xlfn.NUMBERVALUE(MID(INDEX(TabSLS10[[#Headers],[:1]:[:37]],COLUMN()-COLUMN(TabSLS10[[#Headers],[:1]])+1),2,3))</f>
        <v>0</v>
      </c>
      <c r="AE15" s="39">
        <f>Grunddaten7[[#This Row],[Sitze im Hauptorgan]]/_xlfn.NUMBERVALUE(MID(INDEX(TabSLS10[[#Headers],[:1]:[:37]],COLUMN()-COLUMN(TabSLS10[[#Headers],[:1]])+1),2,3))</f>
        <v>0</v>
      </c>
      <c r="AF15" s="39">
        <f>Grunddaten7[[#This Row],[Sitze im Hauptorgan]]/_xlfn.NUMBERVALUE(MID(INDEX(TabSLS10[[#Headers],[:1]:[:37]],COLUMN()-COLUMN(TabSLS10[[#Headers],[:1]])+1),2,3))</f>
        <v>0</v>
      </c>
      <c r="AG15" s="39">
        <f>Grunddaten7[[#This Row],[Sitze im Hauptorgan]]/_xlfn.NUMBERVALUE(MID(INDEX(TabSLS10[[#Headers],[:1]:[:37]],COLUMN()-COLUMN(TabSLS10[[#Headers],[:1]])+1),2,3))</f>
        <v>0</v>
      </c>
      <c r="AH15" s="39">
        <f>Grunddaten7[[#This Row],[Sitze im Hauptorgan]]/_xlfn.NUMBERVALUE(MID(INDEX(TabSLS10[[#Headers],[:1]:[:37]],COLUMN()-COLUMN(TabSLS10[[#Headers],[:1]])+1),2,3))</f>
        <v>0</v>
      </c>
      <c r="AI15" s="39">
        <f>Grunddaten7[[#This Row],[Sitze im Hauptorgan]]/_xlfn.NUMBERVALUE(MID(INDEX(TabSLS10[[#Headers],[:1]:[:37]],COLUMN()-COLUMN(TabSLS10[[#Headers],[:1]])+1),2,3))</f>
        <v>0</v>
      </c>
      <c r="AJ15" s="39">
        <f>Grunddaten7[[#This Row],[Sitze im Hauptorgan]]/_xlfn.NUMBERVALUE(MID(INDEX(TabSLS10[[#Headers],[:1]:[:37]],COLUMN()-COLUMN(TabSLS10[[#Headers],[:1]])+1),2,3))</f>
        <v>0</v>
      </c>
      <c r="AK15" s="39">
        <f>Grunddaten7[[#This Row],[Sitze im Hauptorgan]]/_xlfn.NUMBERVALUE(MID(INDEX(TabSLS10[[#Headers],[:1]:[:37]],COLUMN()-COLUMN(TabSLS10[[#Headers],[:1]])+1),2,3))</f>
        <v>0</v>
      </c>
      <c r="AL15" s="39">
        <f>Grunddaten7[[#This Row],[Sitze im Hauptorgan]]/_xlfn.NUMBERVALUE(MID(INDEX(TabSLS10[[#Headers],[:1]:[:37]],COLUMN()-COLUMN(TabSLS10[[#Headers],[:1]])+1),2,3))</f>
        <v>0</v>
      </c>
      <c r="AM15" s="39">
        <f>Grunddaten7[[#This Row],[Sitze im Hauptorgan]]/_xlfn.NUMBERVALUE(MID(INDEX(TabSLS10[[#Headers],[:1]:[:37]],COLUMN()-COLUMN(TabSLS10[[#Headers],[:1]])+1),2,3))</f>
        <v>0</v>
      </c>
      <c r="AN15" s="39">
        <f>Grunddaten7[[#This Row],[Sitze im Hauptorgan]]/_xlfn.NUMBERVALUE(MID(INDEX(TabSLS10[[#Headers],[:1]:[:37]],COLUMN()-COLUMN(TabSLS10[[#Headers],[:1]])+1),2,3))</f>
        <v>0</v>
      </c>
      <c r="AO15" s="39">
        <f>Grunddaten7[[#This Row],[Sitze im Hauptorgan]]/_xlfn.NUMBERVALUE(MID(INDEX(TabSLS10[[#Headers],[:1]:[:37]],COLUMN()-COLUMN(TabSLS10[[#Headers],[:1]])+1),2,3))</f>
        <v>0</v>
      </c>
      <c r="AP15" s="39">
        <f>Grunddaten7[[#This Row],[Sitze im Hauptorgan]]/_xlfn.NUMBERVALUE(MID(INDEX(TabSLS10[[#Headers],[:1]:[:37]],COLUMN()-COLUMN(TabSLS10[[#Headers],[:1]])+1),2,3))</f>
        <v>0</v>
      </c>
      <c r="AQ15" s="39">
        <f>Grunddaten7[[#This Row],[Sitze im Hauptorgan]]/_xlfn.NUMBERVALUE(MID(INDEX(TabSLS10[[#Headers],[:1]:[:37]],COLUMN()-COLUMN(TabSLS10[[#Headers],[:1]])+1),2,3))</f>
        <v>0</v>
      </c>
      <c r="AR15" s="40">
        <f>Grunddaten7[[#This Row],[Sitze im Hauptorgan]]/_xlfn.NUMBERVALUE(MID(INDEX(TabSLS10[[#Headers],[:1]:[:37]],COLUMN()-COLUMN(TabSLS10[[#Headers],[:1]])+1),2,3))</f>
        <v>0</v>
      </c>
      <c r="AS15" s="41">
        <f>_xlfn.RANK.EQ(TabSLS10[[#This Row],[:1]],TabSLS10[[:1]:[:37]],0)</f>
        <v>134</v>
      </c>
      <c r="AT15" s="42">
        <f>_xlfn.RANK.EQ(TabSLS10[[#This Row],[:3]],TabSLS10[[:1]:[:37]],0)</f>
        <v>134</v>
      </c>
      <c r="AU15" s="42">
        <f>_xlfn.RANK.EQ(TabSLS10[[#This Row],[:5]],TabSLS10[[:1]:[:37]],0)</f>
        <v>134</v>
      </c>
      <c r="AV15" s="42">
        <f>_xlfn.RANK.EQ(TabSLS10[[#This Row],[:7]],TabSLS10[[:1]:[:37]],0)</f>
        <v>134</v>
      </c>
      <c r="AW15" s="42">
        <f>_xlfn.RANK.EQ(TabSLS10[[#This Row],[:9]],TabSLS10[[:1]:[:37]],0)</f>
        <v>134</v>
      </c>
      <c r="AX15" s="42">
        <f>_xlfn.RANK.EQ(TabSLS10[[#This Row],[:11]],TabSLS10[[:1]:[:37]],0)</f>
        <v>134</v>
      </c>
      <c r="AY15" s="42">
        <f>_xlfn.RANK.EQ(TabSLS10[[#This Row],[:13]],TabSLS10[[:1]:[:37]],0)</f>
        <v>134</v>
      </c>
      <c r="AZ15" s="42">
        <f>_xlfn.RANK.EQ(TabSLS10[[#This Row],[:15]],TabSLS10[[:1]:[:37]],0)</f>
        <v>134</v>
      </c>
      <c r="BA15" s="42">
        <f>_xlfn.RANK.EQ(TabSLS10[[#This Row],[:17]],TabSLS10[[:1]:[:37]],0)</f>
        <v>134</v>
      </c>
      <c r="BB15" s="42">
        <f>_xlfn.RANK.EQ(TabSLS10[[#This Row],[:19]],TabSLS10[[:1]:[:37]],0)</f>
        <v>134</v>
      </c>
      <c r="BC15" s="42">
        <f>_xlfn.RANK.EQ(TabSLS10[[#This Row],[:21]],TabSLS10[[:1]:[:37]],0)</f>
        <v>134</v>
      </c>
      <c r="BD15" s="42">
        <f>_xlfn.RANK.EQ(TabSLS10[[#This Row],[:23]],TabSLS10[[:1]:[:37]],0)</f>
        <v>134</v>
      </c>
      <c r="BE15" s="42">
        <f>_xlfn.RANK.EQ(TabSLS10[[#This Row],[:25]],TabSLS10[[:1]:[:37]],0)</f>
        <v>134</v>
      </c>
      <c r="BF15" s="42">
        <f>_xlfn.RANK.EQ(TabSLS10[[#This Row],[:27]],TabSLS10[[:1]:[:37]],0)</f>
        <v>134</v>
      </c>
      <c r="BG15" s="42">
        <f>_xlfn.RANK.EQ(TabSLS10[[#This Row],[:29]],TabSLS10[[:1]:[:37]],0)</f>
        <v>134</v>
      </c>
      <c r="BH15" s="42">
        <f>_xlfn.RANK.EQ(TabSLS10[[#This Row],[:31]],TabSLS10[[:1]:[:37]],0)</f>
        <v>134</v>
      </c>
      <c r="BI15" s="42">
        <f>_xlfn.RANK.EQ(TabSLS10[[#This Row],[:33]],TabSLS10[[:1]:[:37]],0)</f>
        <v>134</v>
      </c>
      <c r="BJ15" s="42">
        <f>_xlfn.RANK.EQ(TabSLS10[[#This Row],[:35]],TabSLS10[[:1]:[:37]],0)</f>
        <v>134</v>
      </c>
      <c r="BK15" s="43">
        <f>_xlfn.RANK.EQ(TabSLS10[[#This Row],[:37]],TabSLS10[[:1]:[:37]],0)</f>
        <v>134</v>
      </c>
      <c r="BL15" s="44" t="str">
        <f>IF(TabSLS10[[#This Row],[R1]]&lt;=Sitze_Ausschuss,IF(TabSLS10[[#This Row],[R1]]+COUNTIF(TabSLS10[[R1]:[R37]],TabSLS10[[#This Row],[R1]])-1&lt;=Sitze_Ausschuss,"SITZ","PATT"),"")</f>
        <v/>
      </c>
      <c r="BM15" s="45" t="str">
        <f>IF(TabSLS10[[#This Row],[R3]]&lt;=Sitze_Ausschuss,IF(TabSLS10[[#This Row],[R3]]+COUNTIF(TabSLS10[[R1]:[R37]],TabSLS10[[#This Row],[R3]])-1&lt;=Sitze_Ausschuss,"SITZ","PATT"),"")</f>
        <v/>
      </c>
      <c r="BN15" s="45" t="str">
        <f>IF(TabSLS10[[#This Row],[R5]]&lt;=Sitze_Ausschuss,IF(TabSLS10[[#This Row],[R5]]+COUNTIF(TabSLS10[[R1]:[R37]],TabSLS10[[#This Row],[R5]])-1&lt;=Sitze_Ausschuss,"SITZ","PATT"),"")</f>
        <v/>
      </c>
      <c r="BO15" s="45" t="str">
        <f>IF(TabSLS10[[#This Row],[R7]]&lt;=Sitze_Ausschuss,IF(TabSLS10[[#This Row],[R7]]+COUNTIF(TabSLS10[[R1]:[R37]],TabSLS10[[#This Row],[R7]])-1&lt;=Sitze_Ausschuss,"SITZ","PATT"),"")</f>
        <v/>
      </c>
      <c r="BP15" s="45" t="str">
        <f>IF(TabSLS10[[#This Row],[R9]]&lt;=Sitze_Ausschuss,IF(TabSLS10[[#This Row],[R9]]+COUNTIF(TabSLS10[[R1]:[R37]],TabSLS10[[#This Row],[R9]])-1&lt;=Sitze_Ausschuss,"SITZ","PATT"),"")</f>
        <v/>
      </c>
      <c r="BQ15" s="45" t="str">
        <f>IF(TabSLS10[[#This Row],[R11]]&lt;=Sitze_Ausschuss,IF(TabSLS10[[#This Row],[R11]]+COUNTIF(TabSLS10[[R1]:[R37]],TabSLS10[[#This Row],[R11]])-1&lt;=Sitze_Ausschuss,"SITZ","PATT"),"")</f>
        <v/>
      </c>
      <c r="BR15" s="45" t="str">
        <f>IF(TabSLS10[[#This Row],[R13]]&lt;=Sitze_Ausschuss,IF(TabSLS10[[#This Row],[R13]]+COUNTIF(TabSLS10[[R1]:[R37]],TabSLS10[[#This Row],[R13]])-1&lt;=Sitze_Ausschuss,"SITZ","PATT"),"")</f>
        <v/>
      </c>
      <c r="BS15" s="45" t="str">
        <f>IF(TabSLS10[[#This Row],[R15]]&lt;=Sitze_Ausschuss,IF(TabSLS10[[#This Row],[R15]]+COUNTIF(TabSLS10[[R1]:[R37]],TabSLS10[[#This Row],[R15]])-1&lt;=Sitze_Ausschuss,"SITZ","PATT"),"")</f>
        <v/>
      </c>
      <c r="BT15" s="45" t="str">
        <f>IF(TabSLS10[[#This Row],[R17]]&lt;=Sitze_Ausschuss,IF(TabSLS10[[#This Row],[R17]]+COUNTIF(TabSLS10[[R1]:[R37]],TabSLS10[[#This Row],[R17]])-1&lt;=Sitze_Ausschuss,"SITZ","PATT"),"")</f>
        <v/>
      </c>
      <c r="BU15" s="45" t="str">
        <f>IF(TabSLS10[[#This Row],[R19]]&lt;=Sitze_Ausschuss,IF(TabSLS10[[#This Row],[R19]]+COUNTIF(TabSLS10[[R1]:[R37]],TabSLS10[[#This Row],[R19]])-1&lt;=Sitze_Ausschuss,"SITZ","PATT"),"")</f>
        <v/>
      </c>
      <c r="BV15" s="45" t="str">
        <f>IF(TabSLS10[[#This Row],[R21]]&lt;=Sitze_Ausschuss,IF(TabSLS10[[#This Row],[R21]]+COUNTIF(TabSLS10[[R1]:[R37]],TabSLS10[[#This Row],[R21]])-1&lt;=Sitze_Ausschuss,"SITZ","PATT"),"")</f>
        <v/>
      </c>
      <c r="BW15" s="45" t="str">
        <f>IF(TabSLS10[[#This Row],[R23]]&lt;=Sitze_Ausschuss,IF(TabSLS10[[#This Row],[R23]]+COUNTIF(TabSLS10[[R1]:[R37]],TabSLS10[[#This Row],[R23]])-1&lt;=Sitze_Ausschuss,"SITZ","PATT"),"")</f>
        <v/>
      </c>
      <c r="BX15" s="45" t="str">
        <f>IF(TabSLS10[[#This Row],[R25]]&lt;=Sitze_Ausschuss,IF(TabSLS10[[#This Row],[R25]]+COUNTIF(TabSLS10[[R1]:[R37]],TabSLS10[[#This Row],[R25]])-1&lt;=Sitze_Ausschuss,"SITZ","PATT"),"")</f>
        <v/>
      </c>
      <c r="BY15" s="45" t="str">
        <f>IF(TabSLS10[[#This Row],[R27]]&lt;=Sitze_Ausschuss,IF(TabSLS10[[#This Row],[R27]]+COUNTIF(TabSLS10[[R1]:[R37]],TabSLS10[[#This Row],[R27]])-1&lt;=Sitze_Ausschuss,"SITZ","PATT"),"")</f>
        <v/>
      </c>
      <c r="BZ15" s="45" t="str">
        <f>IF(TabSLS10[[#This Row],[R29]]&lt;=Sitze_Ausschuss,IF(TabSLS10[[#This Row],[R29]]+COUNTIF(TabSLS10[[R1]:[R37]],TabSLS10[[#This Row],[R29]])-1&lt;=Sitze_Ausschuss,"SITZ","PATT"),"")</f>
        <v/>
      </c>
      <c r="CA15" s="45" t="str">
        <f>IF(TabSLS10[[#This Row],[R31]]&lt;=Sitze_Ausschuss,IF(TabSLS10[[#This Row],[R31]]+COUNTIF(TabSLS10[[R1]:[R37]],TabSLS10[[#This Row],[R31]])-1&lt;=Sitze_Ausschuss,"SITZ","PATT"),"")</f>
        <v/>
      </c>
      <c r="CB15" s="45" t="str">
        <f>IF(TabSLS10[[#This Row],[R33]]&lt;=Sitze_Ausschuss,IF(TabSLS10[[#This Row],[R33]]+COUNTIF(TabSLS10[[R1]:[R37]],TabSLS10[[#This Row],[R33]])-1&lt;=Sitze_Ausschuss,"SITZ","PATT"),"")</f>
        <v/>
      </c>
      <c r="CC15" s="45" t="str">
        <f>IF(TabSLS10[[#This Row],[R35]]&lt;=Sitze_Ausschuss,IF(TabSLS10[[#This Row],[R35]]+COUNTIF(TabSLS10[[R1]:[R37]],TabSLS10[[#This Row],[R35]])-1&lt;=Sitze_Ausschuss,"SITZ","PATT"),"")</f>
        <v/>
      </c>
      <c r="CD15" s="46" t="str">
        <f>IF(TabSLS10[[#This Row],[R37]]&lt;=Sitze_Ausschuss,IF(TabSLS10[[#This Row],[R37]]+COUNTIF(TabSLS10[[R1]:[R37]],TabSLS10[[#This Row],[R37]])-1&lt;=Sitze_Ausschuss,"SITZ","PATT"),"")</f>
        <v/>
      </c>
      <c r="CE15" s="47" t="b">
        <f>COUNTIF(TabSLS10[[#This Row],[SP1]:[SP37]],"PATT")&gt;0</f>
        <v>0</v>
      </c>
      <c r="CF15" s="33">
        <f>IF(TabSLS10[[#This Row],[Patt?]],(Sitze_Ausschuss-SUM(TabSLS10[Sitze]))/TabSLS10[[#Totals],[Patt?]],0)</f>
        <v>0</v>
      </c>
      <c r="CG15" s="48">
        <f>TabSLS10[[#This Row],[Patt?]]*IF(Pattaufloesung="Stimmen",TabPatt11[[#This Row],[Stimmen]],0)*1</f>
        <v>0</v>
      </c>
      <c r="CH15" s="49" t="b">
        <f>_xlfn.RANK.EQ(TabSLS10[[#This Row],[Stimmen Gelost]],TabSLS10[Stimmen Gelost],0)&lt;=(Sitze_Ausschuss-SUM(TabSLS10[Sitze]))</f>
        <v>0</v>
      </c>
      <c r="CI15" s="50" t="b">
        <f>OR(TabSLS10[[#This Row],[Sitze]]&lt;ROUNDDOWN(Grunddaten7[[#This Row],[Proporzgenaue Zahl Ausschuss]],0),TabSLS10[[#This Row],[Sitze]]+(TabSLS10[[#This Row],[Patt?]]*1)&gt;ROUNDUP(Grunddaten7[[#This Row],[Proporzgenaue Zahl Ausschuss]],0))</f>
        <v>0</v>
      </c>
      <c r="CJ15" s="3"/>
      <c r="CK15" s="36">
        <f>COUNTIF(TabDH12[[#This Row],[SP1]:[SP19]],"SITZ")</f>
        <v>0</v>
      </c>
      <c r="CL15" s="37">
        <f>IF(TabDH12[[#This Row],[Patt]],IF(Pattaufloesung="Los-Chance",TabDH12[[#This Row],[Los Chance]],TabDH12[[#This Row],[Pattgewinn]]+0),0)</f>
        <v>0</v>
      </c>
      <c r="CM15" s="38">
        <f>Grunddaten7[[#This Row],[Sitze im Hauptorgan]]/_xlfn.NUMBERVALUE(MID(INDEX(TabDH12[[#Headers],[:1]:[:19]],COLUMN()-COLUMN(TabDH12[[#Headers],[:1]])+1),2,3))</f>
        <v>0</v>
      </c>
      <c r="CN15" s="39">
        <f>Grunddaten7[[#This Row],[Sitze im Hauptorgan]]/_xlfn.NUMBERVALUE(MID(INDEX(TabDH12[[#Headers],[:1]:[:19]],COLUMN()-COLUMN(TabDH12[[#Headers],[:1]])+1),2,3))</f>
        <v>0</v>
      </c>
      <c r="CO15" s="39">
        <f>Grunddaten7[[#This Row],[Sitze im Hauptorgan]]/_xlfn.NUMBERVALUE(MID(INDEX(TabDH12[[#Headers],[:1]:[:19]],COLUMN()-COLUMN(TabDH12[[#Headers],[:1]])+1),2,3))</f>
        <v>0</v>
      </c>
      <c r="CP15" s="39">
        <f>Grunddaten7[[#This Row],[Sitze im Hauptorgan]]/_xlfn.NUMBERVALUE(MID(INDEX(TabDH12[[#Headers],[:1]:[:19]],COLUMN()-COLUMN(TabDH12[[#Headers],[:1]])+1),2,3))</f>
        <v>0</v>
      </c>
      <c r="CQ15" s="39">
        <f>Grunddaten7[[#This Row],[Sitze im Hauptorgan]]/_xlfn.NUMBERVALUE(MID(INDEX(TabDH12[[#Headers],[:1]:[:19]],COLUMN()-COLUMN(TabDH12[[#Headers],[:1]])+1),2,3))</f>
        <v>0</v>
      </c>
      <c r="CR15" s="39">
        <f>Grunddaten7[[#This Row],[Sitze im Hauptorgan]]/_xlfn.NUMBERVALUE(MID(INDEX(TabDH12[[#Headers],[:1]:[:19]],COLUMN()-COLUMN(TabDH12[[#Headers],[:1]])+1),2,3))</f>
        <v>0</v>
      </c>
      <c r="CS15" s="39">
        <f>Grunddaten7[[#This Row],[Sitze im Hauptorgan]]/_xlfn.NUMBERVALUE(MID(INDEX(TabDH12[[#Headers],[:1]:[:19]],COLUMN()-COLUMN(TabDH12[[#Headers],[:1]])+1),2,3))</f>
        <v>0</v>
      </c>
      <c r="CT15" s="39">
        <f>Grunddaten7[[#This Row],[Sitze im Hauptorgan]]/_xlfn.NUMBERVALUE(MID(INDEX(TabDH12[[#Headers],[:1]:[:19]],COLUMN()-COLUMN(TabDH12[[#Headers],[:1]])+1),2,3))</f>
        <v>0</v>
      </c>
      <c r="CU15" s="39">
        <f>Grunddaten7[[#This Row],[Sitze im Hauptorgan]]/_xlfn.NUMBERVALUE(MID(INDEX(TabDH12[[#Headers],[:1]:[:19]],COLUMN()-COLUMN(TabDH12[[#Headers],[:1]])+1),2,3))</f>
        <v>0</v>
      </c>
      <c r="CV15" s="39">
        <f>Grunddaten7[[#This Row],[Sitze im Hauptorgan]]/_xlfn.NUMBERVALUE(MID(INDEX(TabDH12[[#Headers],[:1]:[:19]],COLUMN()-COLUMN(TabDH12[[#Headers],[:1]])+1),2,3))</f>
        <v>0</v>
      </c>
      <c r="CW15" s="39">
        <f>Grunddaten7[[#This Row],[Sitze im Hauptorgan]]/_xlfn.NUMBERVALUE(MID(INDEX(TabDH12[[#Headers],[:1]:[:19]],COLUMN()-COLUMN(TabDH12[[#Headers],[:1]])+1),2,3))</f>
        <v>0</v>
      </c>
      <c r="CX15" s="39">
        <f>Grunddaten7[[#This Row],[Sitze im Hauptorgan]]/_xlfn.NUMBERVALUE(MID(INDEX(TabDH12[[#Headers],[:1]:[:19]],COLUMN()-COLUMN(TabDH12[[#Headers],[:1]])+1),2,3))</f>
        <v>0</v>
      </c>
      <c r="CY15" s="39">
        <f>Grunddaten7[[#This Row],[Sitze im Hauptorgan]]/_xlfn.NUMBERVALUE(MID(INDEX(TabDH12[[#Headers],[:1]:[:19]],COLUMN()-COLUMN(TabDH12[[#Headers],[:1]])+1),2,3))</f>
        <v>0</v>
      </c>
      <c r="CZ15" s="39">
        <f>Grunddaten7[[#This Row],[Sitze im Hauptorgan]]/_xlfn.NUMBERVALUE(MID(INDEX(TabDH12[[#Headers],[:1]:[:19]],COLUMN()-COLUMN(TabDH12[[#Headers],[:1]])+1),2,3))</f>
        <v>0</v>
      </c>
      <c r="DA15" s="39">
        <f>Grunddaten7[[#This Row],[Sitze im Hauptorgan]]/_xlfn.NUMBERVALUE(MID(INDEX(TabDH12[[#Headers],[:1]:[:19]],COLUMN()-COLUMN(TabDH12[[#Headers],[:1]])+1),2,3))</f>
        <v>0</v>
      </c>
      <c r="DB15" s="39">
        <f>Grunddaten7[[#This Row],[Sitze im Hauptorgan]]/_xlfn.NUMBERVALUE(MID(INDEX(TabDH12[[#Headers],[:1]:[:19]],COLUMN()-COLUMN(TabDH12[[#Headers],[:1]])+1),2,3))</f>
        <v>0</v>
      </c>
      <c r="DC15" s="39">
        <f>Grunddaten7[[#This Row],[Sitze im Hauptorgan]]/_xlfn.NUMBERVALUE(MID(INDEX(TabDH12[[#Headers],[:1]:[:19]],COLUMN()-COLUMN(TabDH12[[#Headers],[:1]])+1),2,3))</f>
        <v>0</v>
      </c>
      <c r="DD15" s="39">
        <f>Grunddaten7[[#This Row],[Sitze im Hauptorgan]]/_xlfn.NUMBERVALUE(MID(INDEX(TabDH12[[#Headers],[:1]:[:19]],COLUMN()-COLUMN(TabDH12[[#Headers],[:1]])+1),2,3))</f>
        <v>0</v>
      </c>
      <c r="DE15" s="40">
        <f>Grunddaten7[[#This Row],[Sitze im Hauptorgan]]/_xlfn.NUMBERVALUE(MID(INDEX(TabDH12[[#Headers],[:1]:[:19]],COLUMN()-COLUMN(TabDH12[[#Headers],[:1]])+1),2,3))</f>
        <v>0</v>
      </c>
      <c r="DF15" s="41">
        <f>_xlfn.RANK.EQ(TabDH12[[#This Row],[:1]],TabDH12[[:1]:[:19]],0)</f>
        <v>134</v>
      </c>
      <c r="DG15" s="42">
        <f>_xlfn.RANK.EQ(TabDH12[[#This Row],[:2]],TabDH12[[:1]:[:19]],0)</f>
        <v>134</v>
      </c>
      <c r="DH15" s="42">
        <f>_xlfn.RANK.EQ(TabDH12[[#This Row],[:3]],TabDH12[[:1]:[:19]],0)</f>
        <v>134</v>
      </c>
      <c r="DI15" s="42">
        <f>_xlfn.RANK.EQ(TabDH12[[#This Row],[:4]],TabDH12[[:1]:[:19]],0)</f>
        <v>134</v>
      </c>
      <c r="DJ15" s="42">
        <f>_xlfn.RANK.EQ(TabDH12[[#This Row],[:5]],TabDH12[[:1]:[:19]],0)</f>
        <v>134</v>
      </c>
      <c r="DK15" s="42">
        <f>_xlfn.RANK.EQ(TabDH12[[#This Row],[:6]],TabDH12[[:1]:[:19]],0)</f>
        <v>134</v>
      </c>
      <c r="DL15" s="42">
        <f>_xlfn.RANK.EQ(TabDH12[[#This Row],[:7]],TabDH12[[:1]:[:19]],0)</f>
        <v>134</v>
      </c>
      <c r="DM15" s="42">
        <f>_xlfn.RANK.EQ(TabDH12[[#This Row],[:8]],TabDH12[[:1]:[:19]],0)</f>
        <v>134</v>
      </c>
      <c r="DN15" s="42">
        <f>_xlfn.RANK.EQ(TabDH12[[#This Row],[:9]],TabDH12[[:1]:[:19]],0)</f>
        <v>134</v>
      </c>
      <c r="DO15" s="42">
        <f>_xlfn.RANK.EQ(TabDH12[[#This Row],[:10]],TabDH12[[:1]:[:19]],0)</f>
        <v>134</v>
      </c>
      <c r="DP15" s="42">
        <f>_xlfn.RANK.EQ(TabDH12[[#This Row],[:11]],TabDH12[[:1]:[:19]],0)</f>
        <v>134</v>
      </c>
      <c r="DQ15" s="42">
        <f>_xlfn.RANK.EQ(TabDH12[[#This Row],[:12]],TabDH12[[:1]:[:19]],0)</f>
        <v>134</v>
      </c>
      <c r="DR15" s="42">
        <f>_xlfn.RANK.EQ(TabDH12[[#This Row],[:13]],TabDH12[[:1]:[:19]],0)</f>
        <v>134</v>
      </c>
      <c r="DS15" s="42">
        <f>_xlfn.RANK.EQ(TabDH12[[#This Row],[:14]],TabDH12[[:1]:[:19]],0)</f>
        <v>134</v>
      </c>
      <c r="DT15" s="42">
        <f>_xlfn.RANK.EQ(TabDH12[[#This Row],[:15]],TabDH12[[:1]:[:19]],0)</f>
        <v>134</v>
      </c>
      <c r="DU15" s="42">
        <f>_xlfn.RANK.EQ(TabDH12[[#This Row],[:16]],TabDH12[[:1]:[:19]],0)</f>
        <v>134</v>
      </c>
      <c r="DV15" s="42">
        <f>_xlfn.RANK.EQ(TabDH12[[#This Row],[:17]],TabDH12[[:1]:[:19]],0)</f>
        <v>134</v>
      </c>
      <c r="DW15" s="42">
        <f>_xlfn.RANK.EQ(TabDH12[[#This Row],[:18]],TabDH12[[:1]:[:19]],0)</f>
        <v>134</v>
      </c>
      <c r="DX15" s="43">
        <f>_xlfn.RANK.EQ(TabDH12[[#This Row],[:19]],TabDH12[[:1]:[:19]],0)</f>
        <v>134</v>
      </c>
      <c r="DY15" s="44" t="str">
        <f>IF(TabDH12[[#This Row],[R1]]&lt;=Sitze_Ausschuss,IF(TabDH12[[#This Row],[R1]]+COUNTIF(TabDH12[[R1]:[R19]],TabDH12[[#This Row],[R1]])-1&lt;=Sitze_Ausschuss,"SITZ","PATT"),"")</f>
        <v/>
      </c>
      <c r="DZ15" s="45" t="str">
        <f>IF(TabDH12[[#This Row],[R2]]&lt;=Sitze_Ausschuss,IF(TabDH12[[#This Row],[R2]]+COUNTIF(TabDH12[[R1]:[R19]],TabDH12[[#This Row],[R2]])-1&lt;=Sitze_Ausschuss,"SITZ","PATT"),"")</f>
        <v/>
      </c>
      <c r="EA15" s="45" t="str">
        <f>IF(TabDH12[[#This Row],[R3]]&lt;=Sitze_Ausschuss,IF(TabDH12[[#This Row],[R3]]+COUNTIF(TabDH12[[R1]:[R19]],TabDH12[[#This Row],[R3]])-1&lt;=Sitze_Ausschuss,"SITZ","PATT"),"")</f>
        <v/>
      </c>
      <c r="EB15" s="45" t="str">
        <f>IF(TabDH12[[#This Row],[R4]]&lt;=Sitze_Ausschuss,IF(TabDH12[[#This Row],[R4]]+COUNTIF(TabDH12[[R1]:[R19]],TabDH12[[#This Row],[R4]])-1&lt;=Sitze_Ausschuss,"SITZ","PATT"),"")</f>
        <v/>
      </c>
      <c r="EC15" s="45" t="str">
        <f>IF(TabDH12[[#This Row],[R5]]&lt;=Sitze_Ausschuss,IF(TabDH12[[#This Row],[R5]]+COUNTIF(TabDH12[[R1]:[R19]],TabDH12[[#This Row],[R5]])-1&lt;=Sitze_Ausschuss,"SITZ","PATT"),"")</f>
        <v/>
      </c>
      <c r="ED15" s="45" t="str">
        <f>IF(TabDH12[[#This Row],[R6]]&lt;=Sitze_Ausschuss,IF(TabDH12[[#This Row],[R6]]+COUNTIF(TabDH12[[R1]:[R19]],TabDH12[[#This Row],[R6]])-1&lt;=Sitze_Ausschuss,"SITZ","PATT"),"")</f>
        <v/>
      </c>
      <c r="EE15" s="45" t="str">
        <f>IF(TabDH12[[#This Row],[R7]]&lt;=Sitze_Ausschuss,IF(TabDH12[[#This Row],[R7]]+COUNTIF(TabDH12[[R1]:[R19]],TabDH12[[#This Row],[R7]])-1&lt;=Sitze_Ausschuss,"SITZ","PATT"),"")</f>
        <v/>
      </c>
      <c r="EF15" s="45" t="str">
        <f>IF(TabDH12[[#This Row],[R8]]&lt;=Sitze_Ausschuss,IF(TabDH12[[#This Row],[R8]]+COUNTIF(TabDH12[[R1]:[R19]],TabDH12[[#This Row],[R8]])-1&lt;=Sitze_Ausschuss,"SITZ","PATT"),"")</f>
        <v/>
      </c>
      <c r="EG15" s="45" t="str">
        <f>IF(TabDH12[[#This Row],[R9]]&lt;=Sitze_Ausschuss,IF(TabDH12[[#This Row],[R9]]+COUNTIF(TabDH12[[R1]:[R19]],TabDH12[[#This Row],[R9]])-1&lt;=Sitze_Ausschuss,"SITZ","PATT"),"")</f>
        <v/>
      </c>
      <c r="EH15" s="45" t="str">
        <f>IF(TabDH12[[#This Row],[R10]]&lt;=Sitze_Ausschuss,IF(TabDH12[[#This Row],[R10]]+COUNTIF(TabDH12[[R1]:[R19]],TabDH12[[#This Row],[R10]])-1&lt;=Sitze_Ausschuss,"SITZ","PATT"),"")</f>
        <v/>
      </c>
      <c r="EI15" s="45" t="str">
        <f>IF(TabDH12[[#This Row],[R11]]&lt;=Sitze_Ausschuss,IF(TabDH12[[#This Row],[R11]]+COUNTIF(TabDH12[[R1]:[R19]],TabDH12[[#This Row],[R11]])-1&lt;=Sitze_Ausschuss,"SITZ","PATT"),"")</f>
        <v/>
      </c>
      <c r="EJ15" s="45" t="str">
        <f>IF(TabDH12[[#This Row],[R12]]&lt;=Sitze_Ausschuss,IF(TabDH12[[#This Row],[R12]]+COUNTIF(TabDH12[[R1]:[R19]],TabDH12[[#This Row],[R12]])-1&lt;=Sitze_Ausschuss,"SITZ","PATT"),"")</f>
        <v/>
      </c>
      <c r="EK15" s="45" t="str">
        <f>IF(TabDH12[[#This Row],[R13]]&lt;=Sitze_Ausschuss,IF(TabDH12[[#This Row],[R13]]+COUNTIF(TabDH12[[R1]:[R19]],TabDH12[[#This Row],[R13]])-1&lt;=Sitze_Ausschuss,"SITZ","PATT"),"")</f>
        <v/>
      </c>
      <c r="EL15" s="45" t="str">
        <f>IF(TabDH12[[#This Row],[R14]]&lt;=Sitze_Ausschuss,IF(TabDH12[[#This Row],[R14]]+COUNTIF(TabDH12[[R1]:[R19]],TabDH12[[#This Row],[R14]])-1&lt;=Sitze_Ausschuss,"SITZ","PATT"),"")</f>
        <v/>
      </c>
      <c r="EM15" s="45" t="str">
        <f>IF(TabDH12[[#This Row],[R15]]&lt;=Sitze_Ausschuss,IF(TabDH12[[#This Row],[R15]]+COUNTIF(TabDH12[[R1]:[R19]],TabDH12[[#This Row],[R15]])-1&lt;=Sitze_Ausschuss,"SITZ","PATT"),"")</f>
        <v/>
      </c>
      <c r="EN15" s="45" t="str">
        <f>IF(TabDH12[[#This Row],[R16]]&lt;=Sitze_Ausschuss,IF(TabDH12[[#This Row],[R16]]+COUNTIF(TabDH12[[R1]:[R19]],TabDH12[[#This Row],[R16]])-1&lt;=Sitze_Ausschuss,"SITZ","PATT"),"")</f>
        <v/>
      </c>
      <c r="EO15" s="45" t="str">
        <f>IF(TabDH12[[#This Row],[R17]]&lt;=Sitze_Ausschuss,IF(TabDH12[[#This Row],[R17]]+COUNTIF(TabDH12[[R1]:[R19]],TabDH12[[#This Row],[R17]])-1&lt;=Sitze_Ausschuss,"SITZ","PATT"),"")</f>
        <v/>
      </c>
      <c r="EP15" s="45" t="str">
        <f>IF(TabDH12[[#This Row],[R18]]&lt;=Sitze_Ausschuss,IF(TabDH12[[#This Row],[R18]]+COUNTIF(TabDH12[[R1]:[R19]],TabDH12[[#This Row],[R18]])-1&lt;=Sitze_Ausschuss,"SITZ","PATT"),"")</f>
        <v/>
      </c>
      <c r="EQ15" s="45" t="str">
        <f>IF(TabDH12[[#This Row],[R19]]&lt;=Sitze_Ausschuss,IF(TabDH12[[#This Row],[R19]]+COUNTIF(TabDH12[[R1]:[R19]],TabDH12[[#This Row],[R19]])-1&lt;=Sitze_Ausschuss,"SITZ","PATT"),"")</f>
        <v/>
      </c>
      <c r="ER15" s="47" t="b">
        <f>COUNTIF(TabDH12[[#This Row],[SP1]:[SP19]],"PATT")&gt;0</f>
        <v>0</v>
      </c>
      <c r="ES15" s="33">
        <f>IF(TabDH12[[#This Row],[Patt]],(Sitze_Ausschuss-SUM(TabDH12[Sitze]))/TabDH12[[#Totals],[Patt]],0)</f>
        <v>0</v>
      </c>
      <c r="ET15" s="48">
        <f>TabDH12[[#This Row],[Patt]]*IF(Pattaufloesung="Stimmen",TabPatt11[[#This Row],[Stimmen]],0)*1</f>
        <v>0</v>
      </c>
      <c r="EU15" s="49" t="b">
        <f>_xlfn.RANK.EQ(TabDH12[[#This Row],[Stimmen/Gelost]],TabDH12[Stimmen/Gelost],0)&lt;=(Sitze_Ausschuss-SUM(TabDH12[Sitze]))</f>
        <v>1</v>
      </c>
      <c r="EV15" s="50" t="b">
        <f>OR(TabDH12[[#This Row],[Sitze]]&lt;ROUNDDOWN(Grunddaten7[[#This Row],[Proporzgenaue Zahl Ausschuss]],0),TabDH12[[#This Row],[Sitze]]+(TabDH12[[#This Row],[Patt]]*1)&gt;ROUNDUP(Grunddaten7[[#This Row],[Proporzgenaue Zahl Ausschuss]],0))</f>
        <v>0</v>
      </c>
      <c r="EW15" s="3"/>
      <c r="EX15" s="51" t="str">
        <f>Grunddaten7[[#This Row],[Partei/Wählergruppe]]&amp;""</f>
        <v/>
      </c>
      <c r="EY15" s="51">
        <f t="shared" si="6"/>
        <v>0</v>
      </c>
      <c r="EZ15" s="3"/>
      <c r="FA15" s="3"/>
      <c r="FB15" s="3"/>
      <c r="FC15" s="3"/>
      <c r="FD15" s="3"/>
    </row>
    <row r="16" spans="1:166" x14ac:dyDescent="0.25">
      <c r="A16" s="3"/>
      <c r="B16" s="89" t="str">
        <f t="shared" si="0"/>
        <v/>
      </c>
      <c r="C16" s="91">
        <f t="shared" si="1"/>
        <v>0</v>
      </c>
      <c r="D16" s="168">
        <f>Grunddaten7[[#This Row],[Sitze im Hauptorgan]]/Grunddaten7[[#Totals],[Sitze im Hauptorgan]]*Sitze_Ausschuss</f>
        <v>0</v>
      </c>
      <c r="E16" s="159">
        <f>IF(ROUNDDOWN(Grunddaten7[[#This Row],[Proporzgenaue Zahl Ausschuss]],0)&lt;&gt;ROUNDUP(Grunddaten7[[#This Row],[Proporzgenaue Zahl Ausschuss]],0), ROUNDDOWN(Grunddaten7[[#This Row],[Proporzgenaue Zahl Ausschuss]],0)&amp;" oder "&amp;ROUNDUP(Grunddaten7[[#This Row],[Proporzgenaue Zahl Ausschuss]],0),ROUND(Grunddaten7[[#This Row],[Proporzgenaue Zahl Ausschuss]],0))</f>
        <v>0</v>
      </c>
      <c r="F16" s="52" t="str">
        <f t="shared" si="2"/>
        <v>OK</v>
      </c>
      <c r="G16" s="52" t="str">
        <f>IF(TabSLS10[[#This Row],[QK verletzt]],"NOK","OK")</f>
        <v>OK</v>
      </c>
      <c r="H16" s="53" t="str">
        <f>IF(TabDH12[[#This Row],[QK verletzt]],"NOK","OK")</f>
        <v>OK</v>
      </c>
      <c r="I16" s="163">
        <f t="shared" si="3"/>
        <v>0</v>
      </c>
      <c r="J16" s="163">
        <f t="shared" si="4"/>
        <v>0</v>
      </c>
      <c r="K16" s="163">
        <f t="shared" si="5"/>
        <v>0</v>
      </c>
      <c r="L16" s="3"/>
      <c r="M16" s="92">
        <f>TabHN9[[#This Row],[S ganz]]+IF(NOT(TabHN9[[#This Row],[Patt]]),TabHN9[[#This Row],[Restsitz]],0)</f>
        <v>0</v>
      </c>
      <c r="N16" s="162">
        <f>IF(TabHN9[[#This Row],[Patt]],IF(Pattaufloesung="Los-Chance",TabHN9[[#This Row],[Los Chance]],TabHN9[[#This Row],[Pattgewinn]]+0),0)</f>
        <v>0</v>
      </c>
      <c r="O16" s="30">
        <f>INT(Grunddaten7[[#This Row],[Proporzgenaue Zahl Ausschuss]])</f>
        <v>0</v>
      </c>
      <c r="P16" s="31">
        <f>ROUND(Grunddaten7[[#This Row],[Proporzgenaue Zahl Ausschuss]]-TabHN9[[#This Row],[S ganz]],4)</f>
        <v>0</v>
      </c>
      <c r="Q16" s="32">
        <f>_xlfn.RANK.EQ(TabHN9[[#This Row],[S Rest]],TabHN9[S Rest],0)</f>
        <v>5</v>
      </c>
      <c r="R16" s="30">
        <f>IF(TabHN9[[#This Row],[Rng Rest]]&lt;=TabHN9[[#Totals],[S Rest]],1,0)</f>
        <v>0</v>
      </c>
      <c r="S16" s="30" t="b">
        <f>AND(TabHN9[[#This Row],[Restsitz]]=1,(COUNTIF(TabHN9[Rng Rest],TabHN9[[#This Row],[Rng Rest]])+TabHN9[[#This Row],[Rng Rest]]-1)&gt;TabHN9[[#Totals],[S Rest]])</f>
        <v>0</v>
      </c>
      <c r="T16" s="33">
        <f>IF(TabHN9[[#This Row],[Patt]],(Sitze_Ausschuss-SUM(TabHN9[Sitze]))/TabHN9[[#Totals],[Patt]],0)</f>
        <v>0</v>
      </c>
      <c r="U16" s="34">
        <f>TabHN9[[#This Row],[Patt]]*IF(Pattaufloesung="Stimmen",TabPatt11[[#This Row],[Stimmen]],0)*1</f>
        <v>0</v>
      </c>
      <c r="V16" s="35" t="b">
        <f>_xlfn.RANK.EQ(TabHN9[[#This Row],[Stimmen/Gelost]],TabHN9[Stimmen/Gelost],0)&lt;=(Sitze_Ausschuss-SUM(TabHN9[Sitze]))</f>
        <v>0</v>
      </c>
      <c r="W16" s="3"/>
      <c r="X16" s="36">
        <f>COUNTIF(TabSLS10[[#This Row],[SP1]:[SP37]],"SITZ")</f>
        <v>0</v>
      </c>
      <c r="Y16" s="37">
        <f>IF(TabSLS10[[#This Row],[Patt?]],IF(Pattaufloesung="Los-Chance",TabSLS10[[#This Row],[Los Chance]],TabSLS10[[#This Row],[Pattgewinn]]+0),0)</f>
        <v>0</v>
      </c>
      <c r="Z16" s="38">
        <f>Grunddaten7[[#This Row],[Sitze im Hauptorgan]]/_xlfn.NUMBERVALUE(MID(INDEX(TabSLS10[[#Headers],[:1]:[:37]],COLUMN()-COLUMN(TabSLS10[[#Headers],[:1]])+1),2,3))</f>
        <v>0</v>
      </c>
      <c r="AA16" s="39">
        <f>Grunddaten7[[#This Row],[Sitze im Hauptorgan]]/_xlfn.NUMBERVALUE(MID(INDEX(TabSLS10[[#Headers],[:1]:[:37]],COLUMN()-COLUMN(TabSLS10[[#Headers],[:1]])+1),2,3))</f>
        <v>0</v>
      </c>
      <c r="AB16" s="39">
        <f>Grunddaten7[[#This Row],[Sitze im Hauptorgan]]/_xlfn.NUMBERVALUE(MID(INDEX(TabSLS10[[#Headers],[:1]:[:37]],COLUMN()-COLUMN(TabSLS10[[#Headers],[:1]])+1),2,3))</f>
        <v>0</v>
      </c>
      <c r="AC16" s="39">
        <f>Grunddaten7[[#This Row],[Sitze im Hauptorgan]]/_xlfn.NUMBERVALUE(MID(INDEX(TabSLS10[[#Headers],[:1]:[:37]],COLUMN()-COLUMN(TabSLS10[[#Headers],[:1]])+1),2,3))</f>
        <v>0</v>
      </c>
      <c r="AD16" s="39">
        <f>Grunddaten7[[#This Row],[Sitze im Hauptorgan]]/_xlfn.NUMBERVALUE(MID(INDEX(TabSLS10[[#Headers],[:1]:[:37]],COLUMN()-COLUMN(TabSLS10[[#Headers],[:1]])+1),2,3))</f>
        <v>0</v>
      </c>
      <c r="AE16" s="39">
        <f>Grunddaten7[[#This Row],[Sitze im Hauptorgan]]/_xlfn.NUMBERVALUE(MID(INDEX(TabSLS10[[#Headers],[:1]:[:37]],COLUMN()-COLUMN(TabSLS10[[#Headers],[:1]])+1),2,3))</f>
        <v>0</v>
      </c>
      <c r="AF16" s="39">
        <f>Grunddaten7[[#This Row],[Sitze im Hauptorgan]]/_xlfn.NUMBERVALUE(MID(INDEX(TabSLS10[[#Headers],[:1]:[:37]],COLUMN()-COLUMN(TabSLS10[[#Headers],[:1]])+1),2,3))</f>
        <v>0</v>
      </c>
      <c r="AG16" s="39">
        <f>Grunddaten7[[#This Row],[Sitze im Hauptorgan]]/_xlfn.NUMBERVALUE(MID(INDEX(TabSLS10[[#Headers],[:1]:[:37]],COLUMN()-COLUMN(TabSLS10[[#Headers],[:1]])+1),2,3))</f>
        <v>0</v>
      </c>
      <c r="AH16" s="39">
        <f>Grunddaten7[[#This Row],[Sitze im Hauptorgan]]/_xlfn.NUMBERVALUE(MID(INDEX(TabSLS10[[#Headers],[:1]:[:37]],COLUMN()-COLUMN(TabSLS10[[#Headers],[:1]])+1),2,3))</f>
        <v>0</v>
      </c>
      <c r="AI16" s="39">
        <f>Grunddaten7[[#This Row],[Sitze im Hauptorgan]]/_xlfn.NUMBERVALUE(MID(INDEX(TabSLS10[[#Headers],[:1]:[:37]],COLUMN()-COLUMN(TabSLS10[[#Headers],[:1]])+1),2,3))</f>
        <v>0</v>
      </c>
      <c r="AJ16" s="39">
        <f>Grunddaten7[[#This Row],[Sitze im Hauptorgan]]/_xlfn.NUMBERVALUE(MID(INDEX(TabSLS10[[#Headers],[:1]:[:37]],COLUMN()-COLUMN(TabSLS10[[#Headers],[:1]])+1),2,3))</f>
        <v>0</v>
      </c>
      <c r="AK16" s="39">
        <f>Grunddaten7[[#This Row],[Sitze im Hauptorgan]]/_xlfn.NUMBERVALUE(MID(INDEX(TabSLS10[[#Headers],[:1]:[:37]],COLUMN()-COLUMN(TabSLS10[[#Headers],[:1]])+1),2,3))</f>
        <v>0</v>
      </c>
      <c r="AL16" s="39">
        <f>Grunddaten7[[#This Row],[Sitze im Hauptorgan]]/_xlfn.NUMBERVALUE(MID(INDEX(TabSLS10[[#Headers],[:1]:[:37]],COLUMN()-COLUMN(TabSLS10[[#Headers],[:1]])+1),2,3))</f>
        <v>0</v>
      </c>
      <c r="AM16" s="39">
        <f>Grunddaten7[[#This Row],[Sitze im Hauptorgan]]/_xlfn.NUMBERVALUE(MID(INDEX(TabSLS10[[#Headers],[:1]:[:37]],COLUMN()-COLUMN(TabSLS10[[#Headers],[:1]])+1),2,3))</f>
        <v>0</v>
      </c>
      <c r="AN16" s="39">
        <f>Grunddaten7[[#This Row],[Sitze im Hauptorgan]]/_xlfn.NUMBERVALUE(MID(INDEX(TabSLS10[[#Headers],[:1]:[:37]],COLUMN()-COLUMN(TabSLS10[[#Headers],[:1]])+1),2,3))</f>
        <v>0</v>
      </c>
      <c r="AO16" s="39">
        <f>Grunddaten7[[#This Row],[Sitze im Hauptorgan]]/_xlfn.NUMBERVALUE(MID(INDEX(TabSLS10[[#Headers],[:1]:[:37]],COLUMN()-COLUMN(TabSLS10[[#Headers],[:1]])+1),2,3))</f>
        <v>0</v>
      </c>
      <c r="AP16" s="39">
        <f>Grunddaten7[[#This Row],[Sitze im Hauptorgan]]/_xlfn.NUMBERVALUE(MID(INDEX(TabSLS10[[#Headers],[:1]:[:37]],COLUMN()-COLUMN(TabSLS10[[#Headers],[:1]])+1),2,3))</f>
        <v>0</v>
      </c>
      <c r="AQ16" s="39">
        <f>Grunddaten7[[#This Row],[Sitze im Hauptorgan]]/_xlfn.NUMBERVALUE(MID(INDEX(TabSLS10[[#Headers],[:1]:[:37]],COLUMN()-COLUMN(TabSLS10[[#Headers],[:1]])+1),2,3))</f>
        <v>0</v>
      </c>
      <c r="AR16" s="40">
        <f>Grunddaten7[[#This Row],[Sitze im Hauptorgan]]/_xlfn.NUMBERVALUE(MID(INDEX(TabSLS10[[#Headers],[:1]:[:37]],COLUMN()-COLUMN(TabSLS10[[#Headers],[:1]])+1),2,3))</f>
        <v>0</v>
      </c>
      <c r="AS16" s="41">
        <f>_xlfn.RANK.EQ(TabSLS10[[#This Row],[:1]],TabSLS10[[:1]:[:37]],0)</f>
        <v>134</v>
      </c>
      <c r="AT16" s="42">
        <f>_xlfn.RANK.EQ(TabSLS10[[#This Row],[:3]],TabSLS10[[:1]:[:37]],0)</f>
        <v>134</v>
      </c>
      <c r="AU16" s="42">
        <f>_xlfn.RANK.EQ(TabSLS10[[#This Row],[:5]],TabSLS10[[:1]:[:37]],0)</f>
        <v>134</v>
      </c>
      <c r="AV16" s="42">
        <f>_xlfn.RANK.EQ(TabSLS10[[#This Row],[:7]],TabSLS10[[:1]:[:37]],0)</f>
        <v>134</v>
      </c>
      <c r="AW16" s="42">
        <f>_xlfn.RANK.EQ(TabSLS10[[#This Row],[:9]],TabSLS10[[:1]:[:37]],0)</f>
        <v>134</v>
      </c>
      <c r="AX16" s="42">
        <f>_xlfn.RANK.EQ(TabSLS10[[#This Row],[:11]],TabSLS10[[:1]:[:37]],0)</f>
        <v>134</v>
      </c>
      <c r="AY16" s="42">
        <f>_xlfn.RANK.EQ(TabSLS10[[#This Row],[:13]],TabSLS10[[:1]:[:37]],0)</f>
        <v>134</v>
      </c>
      <c r="AZ16" s="42">
        <f>_xlfn.RANK.EQ(TabSLS10[[#This Row],[:15]],TabSLS10[[:1]:[:37]],0)</f>
        <v>134</v>
      </c>
      <c r="BA16" s="42">
        <f>_xlfn.RANK.EQ(TabSLS10[[#This Row],[:17]],TabSLS10[[:1]:[:37]],0)</f>
        <v>134</v>
      </c>
      <c r="BB16" s="42">
        <f>_xlfn.RANK.EQ(TabSLS10[[#This Row],[:19]],TabSLS10[[:1]:[:37]],0)</f>
        <v>134</v>
      </c>
      <c r="BC16" s="42">
        <f>_xlfn.RANK.EQ(TabSLS10[[#This Row],[:21]],TabSLS10[[:1]:[:37]],0)</f>
        <v>134</v>
      </c>
      <c r="BD16" s="42">
        <f>_xlfn.RANK.EQ(TabSLS10[[#This Row],[:23]],TabSLS10[[:1]:[:37]],0)</f>
        <v>134</v>
      </c>
      <c r="BE16" s="42">
        <f>_xlfn.RANK.EQ(TabSLS10[[#This Row],[:25]],TabSLS10[[:1]:[:37]],0)</f>
        <v>134</v>
      </c>
      <c r="BF16" s="42">
        <f>_xlfn.RANK.EQ(TabSLS10[[#This Row],[:27]],TabSLS10[[:1]:[:37]],0)</f>
        <v>134</v>
      </c>
      <c r="BG16" s="42">
        <f>_xlfn.RANK.EQ(TabSLS10[[#This Row],[:29]],TabSLS10[[:1]:[:37]],0)</f>
        <v>134</v>
      </c>
      <c r="BH16" s="42">
        <f>_xlfn.RANK.EQ(TabSLS10[[#This Row],[:31]],TabSLS10[[:1]:[:37]],0)</f>
        <v>134</v>
      </c>
      <c r="BI16" s="42">
        <f>_xlfn.RANK.EQ(TabSLS10[[#This Row],[:33]],TabSLS10[[:1]:[:37]],0)</f>
        <v>134</v>
      </c>
      <c r="BJ16" s="42">
        <f>_xlfn.RANK.EQ(TabSLS10[[#This Row],[:35]],TabSLS10[[:1]:[:37]],0)</f>
        <v>134</v>
      </c>
      <c r="BK16" s="43">
        <f>_xlfn.RANK.EQ(TabSLS10[[#This Row],[:37]],TabSLS10[[:1]:[:37]],0)</f>
        <v>134</v>
      </c>
      <c r="BL16" s="44" t="str">
        <f>IF(TabSLS10[[#This Row],[R1]]&lt;=Sitze_Ausschuss,IF(TabSLS10[[#This Row],[R1]]+COUNTIF(TabSLS10[[R1]:[R37]],TabSLS10[[#This Row],[R1]])-1&lt;=Sitze_Ausschuss,"SITZ","PATT"),"")</f>
        <v/>
      </c>
      <c r="BM16" s="45" t="str">
        <f>IF(TabSLS10[[#This Row],[R3]]&lt;=Sitze_Ausschuss,IF(TabSLS10[[#This Row],[R3]]+COUNTIF(TabSLS10[[R1]:[R37]],TabSLS10[[#This Row],[R3]])-1&lt;=Sitze_Ausschuss,"SITZ","PATT"),"")</f>
        <v/>
      </c>
      <c r="BN16" s="45" t="str">
        <f>IF(TabSLS10[[#This Row],[R5]]&lt;=Sitze_Ausschuss,IF(TabSLS10[[#This Row],[R5]]+COUNTIF(TabSLS10[[R1]:[R37]],TabSLS10[[#This Row],[R5]])-1&lt;=Sitze_Ausschuss,"SITZ","PATT"),"")</f>
        <v/>
      </c>
      <c r="BO16" s="45" t="str">
        <f>IF(TabSLS10[[#This Row],[R7]]&lt;=Sitze_Ausschuss,IF(TabSLS10[[#This Row],[R7]]+COUNTIF(TabSLS10[[R1]:[R37]],TabSLS10[[#This Row],[R7]])-1&lt;=Sitze_Ausschuss,"SITZ","PATT"),"")</f>
        <v/>
      </c>
      <c r="BP16" s="45" t="str">
        <f>IF(TabSLS10[[#This Row],[R9]]&lt;=Sitze_Ausschuss,IF(TabSLS10[[#This Row],[R9]]+COUNTIF(TabSLS10[[R1]:[R37]],TabSLS10[[#This Row],[R9]])-1&lt;=Sitze_Ausschuss,"SITZ","PATT"),"")</f>
        <v/>
      </c>
      <c r="BQ16" s="45" t="str">
        <f>IF(TabSLS10[[#This Row],[R11]]&lt;=Sitze_Ausschuss,IF(TabSLS10[[#This Row],[R11]]+COUNTIF(TabSLS10[[R1]:[R37]],TabSLS10[[#This Row],[R11]])-1&lt;=Sitze_Ausschuss,"SITZ","PATT"),"")</f>
        <v/>
      </c>
      <c r="BR16" s="45" t="str">
        <f>IF(TabSLS10[[#This Row],[R13]]&lt;=Sitze_Ausschuss,IF(TabSLS10[[#This Row],[R13]]+COUNTIF(TabSLS10[[R1]:[R37]],TabSLS10[[#This Row],[R13]])-1&lt;=Sitze_Ausschuss,"SITZ","PATT"),"")</f>
        <v/>
      </c>
      <c r="BS16" s="45" t="str">
        <f>IF(TabSLS10[[#This Row],[R15]]&lt;=Sitze_Ausschuss,IF(TabSLS10[[#This Row],[R15]]+COUNTIF(TabSLS10[[R1]:[R37]],TabSLS10[[#This Row],[R15]])-1&lt;=Sitze_Ausschuss,"SITZ","PATT"),"")</f>
        <v/>
      </c>
      <c r="BT16" s="45" t="str">
        <f>IF(TabSLS10[[#This Row],[R17]]&lt;=Sitze_Ausschuss,IF(TabSLS10[[#This Row],[R17]]+COUNTIF(TabSLS10[[R1]:[R37]],TabSLS10[[#This Row],[R17]])-1&lt;=Sitze_Ausschuss,"SITZ","PATT"),"")</f>
        <v/>
      </c>
      <c r="BU16" s="45" t="str">
        <f>IF(TabSLS10[[#This Row],[R19]]&lt;=Sitze_Ausschuss,IF(TabSLS10[[#This Row],[R19]]+COUNTIF(TabSLS10[[R1]:[R37]],TabSLS10[[#This Row],[R19]])-1&lt;=Sitze_Ausschuss,"SITZ","PATT"),"")</f>
        <v/>
      </c>
      <c r="BV16" s="45" t="str">
        <f>IF(TabSLS10[[#This Row],[R21]]&lt;=Sitze_Ausschuss,IF(TabSLS10[[#This Row],[R21]]+COUNTIF(TabSLS10[[R1]:[R37]],TabSLS10[[#This Row],[R21]])-1&lt;=Sitze_Ausschuss,"SITZ","PATT"),"")</f>
        <v/>
      </c>
      <c r="BW16" s="45" t="str">
        <f>IF(TabSLS10[[#This Row],[R23]]&lt;=Sitze_Ausschuss,IF(TabSLS10[[#This Row],[R23]]+COUNTIF(TabSLS10[[R1]:[R37]],TabSLS10[[#This Row],[R23]])-1&lt;=Sitze_Ausschuss,"SITZ","PATT"),"")</f>
        <v/>
      </c>
      <c r="BX16" s="45" t="str">
        <f>IF(TabSLS10[[#This Row],[R25]]&lt;=Sitze_Ausschuss,IF(TabSLS10[[#This Row],[R25]]+COUNTIF(TabSLS10[[R1]:[R37]],TabSLS10[[#This Row],[R25]])-1&lt;=Sitze_Ausschuss,"SITZ","PATT"),"")</f>
        <v/>
      </c>
      <c r="BY16" s="45" t="str">
        <f>IF(TabSLS10[[#This Row],[R27]]&lt;=Sitze_Ausschuss,IF(TabSLS10[[#This Row],[R27]]+COUNTIF(TabSLS10[[R1]:[R37]],TabSLS10[[#This Row],[R27]])-1&lt;=Sitze_Ausschuss,"SITZ","PATT"),"")</f>
        <v/>
      </c>
      <c r="BZ16" s="45" t="str">
        <f>IF(TabSLS10[[#This Row],[R29]]&lt;=Sitze_Ausschuss,IF(TabSLS10[[#This Row],[R29]]+COUNTIF(TabSLS10[[R1]:[R37]],TabSLS10[[#This Row],[R29]])-1&lt;=Sitze_Ausschuss,"SITZ","PATT"),"")</f>
        <v/>
      </c>
      <c r="CA16" s="45" t="str">
        <f>IF(TabSLS10[[#This Row],[R31]]&lt;=Sitze_Ausschuss,IF(TabSLS10[[#This Row],[R31]]+COUNTIF(TabSLS10[[R1]:[R37]],TabSLS10[[#This Row],[R31]])-1&lt;=Sitze_Ausschuss,"SITZ","PATT"),"")</f>
        <v/>
      </c>
      <c r="CB16" s="45" t="str">
        <f>IF(TabSLS10[[#This Row],[R33]]&lt;=Sitze_Ausschuss,IF(TabSLS10[[#This Row],[R33]]+COUNTIF(TabSLS10[[R1]:[R37]],TabSLS10[[#This Row],[R33]])-1&lt;=Sitze_Ausschuss,"SITZ","PATT"),"")</f>
        <v/>
      </c>
      <c r="CC16" s="45" t="str">
        <f>IF(TabSLS10[[#This Row],[R35]]&lt;=Sitze_Ausschuss,IF(TabSLS10[[#This Row],[R35]]+COUNTIF(TabSLS10[[R1]:[R37]],TabSLS10[[#This Row],[R35]])-1&lt;=Sitze_Ausschuss,"SITZ","PATT"),"")</f>
        <v/>
      </c>
      <c r="CD16" s="46" t="str">
        <f>IF(TabSLS10[[#This Row],[R37]]&lt;=Sitze_Ausschuss,IF(TabSLS10[[#This Row],[R37]]+COUNTIF(TabSLS10[[R1]:[R37]],TabSLS10[[#This Row],[R37]])-1&lt;=Sitze_Ausschuss,"SITZ","PATT"),"")</f>
        <v/>
      </c>
      <c r="CE16" s="47" t="b">
        <f>COUNTIF(TabSLS10[[#This Row],[SP1]:[SP37]],"PATT")&gt;0</f>
        <v>0</v>
      </c>
      <c r="CF16" s="33">
        <f>IF(TabSLS10[[#This Row],[Patt?]],(Sitze_Ausschuss-SUM(TabSLS10[Sitze]))/TabSLS10[[#Totals],[Patt?]],0)</f>
        <v>0</v>
      </c>
      <c r="CG16" s="48">
        <f>TabSLS10[[#This Row],[Patt?]]*IF(Pattaufloesung="Stimmen",TabPatt11[[#This Row],[Stimmen]],0)*1</f>
        <v>0</v>
      </c>
      <c r="CH16" s="49" t="b">
        <f>_xlfn.RANK.EQ(TabSLS10[[#This Row],[Stimmen Gelost]],TabSLS10[Stimmen Gelost],0)&lt;=(Sitze_Ausschuss-SUM(TabSLS10[Sitze]))</f>
        <v>0</v>
      </c>
      <c r="CI16" s="50" t="b">
        <f>OR(TabSLS10[[#This Row],[Sitze]]&lt;ROUNDDOWN(Grunddaten7[[#This Row],[Proporzgenaue Zahl Ausschuss]],0),TabSLS10[[#This Row],[Sitze]]+(TabSLS10[[#This Row],[Patt?]]*1)&gt;ROUNDUP(Grunddaten7[[#This Row],[Proporzgenaue Zahl Ausschuss]],0))</f>
        <v>0</v>
      </c>
      <c r="CJ16" s="3"/>
      <c r="CK16" s="36">
        <f>COUNTIF(TabDH12[[#This Row],[SP1]:[SP19]],"SITZ")</f>
        <v>0</v>
      </c>
      <c r="CL16" s="37">
        <f>IF(TabDH12[[#This Row],[Patt]],IF(Pattaufloesung="Los-Chance",TabDH12[[#This Row],[Los Chance]],TabDH12[[#This Row],[Pattgewinn]]+0),0)</f>
        <v>0</v>
      </c>
      <c r="CM16" s="38">
        <f>Grunddaten7[[#This Row],[Sitze im Hauptorgan]]/_xlfn.NUMBERVALUE(MID(INDEX(TabDH12[[#Headers],[:1]:[:19]],COLUMN()-COLUMN(TabDH12[[#Headers],[:1]])+1),2,3))</f>
        <v>0</v>
      </c>
      <c r="CN16" s="39">
        <f>Grunddaten7[[#This Row],[Sitze im Hauptorgan]]/_xlfn.NUMBERVALUE(MID(INDEX(TabDH12[[#Headers],[:1]:[:19]],COLUMN()-COLUMN(TabDH12[[#Headers],[:1]])+1),2,3))</f>
        <v>0</v>
      </c>
      <c r="CO16" s="39">
        <f>Grunddaten7[[#This Row],[Sitze im Hauptorgan]]/_xlfn.NUMBERVALUE(MID(INDEX(TabDH12[[#Headers],[:1]:[:19]],COLUMN()-COLUMN(TabDH12[[#Headers],[:1]])+1),2,3))</f>
        <v>0</v>
      </c>
      <c r="CP16" s="39">
        <f>Grunddaten7[[#This Row],[Sitze im Hauptorgan]]/_xlfn.NUMBERVALUE(MID(INDEX(TabDH12[[#Headers],[:1]:[:19]],COLUMN()-COLUMN(TabDH12[[#Headers],[:1]])+1),2,3))</f>
        <v>0</v>
      </c>
      <c r="CQ16" s="39">
        <f>Grunddaten7[[#This Row],[Sitze im Hauptorgan]]/_xlfn.NUMBERVALUE(MID(INDEX(TabDH12[[#Headers],[:1]:[:19]],COLUMN()-COLUMN(TabDH12[[#Headers],[:1]])+1),2,3))</f>
        <v>0</v>
      </c>
      <c r="CR16" s="39">
        <f>Grunddaten7[[#This Row],[Sitze im Hauptorgan]]/_xlfn.NUMBERVALUE(MID(INDEX(TabDH12[[#Headers],[:1]:[:19]],COLUMN()-COLUMN(TabDH12[[#Headers],[:1]])+1),2,3))</f>
        <v>0</v>
      </c>
      <c r="CS16" s="39">
        <f>Grunddaten7[[#This Row],[Sitze im Hauptorgan]]/_xlfn.NUMBERVALUE(MID(INDEX(TabDH12[[#Headers],[:1]:[:19]],COLUMN()-COLUMN(TabDH12[[#Headers],[:1]])+1),2,3))</f>
        <v>0</v>
      </c>
      <c r="CT16" s="39">
        <f>Grunddaten7[[#This Row],[Sitze im Hauptorgan]]/_xlfn.NUMBERVALUE(MID(INDEX(TabDH12[[#Headers],[:1]:[:19]],COLUMN()-COLUMN(TabDH12[[#Headers],[:1]])+1),2,3))</f>
        <v>0</v>
      </c>
      <c r="CU16" s="39">
        <f>Grunddaten7[[#This Row],[Sitze im Hauptorgan]]/_xlfn.NUMBERVALUE(MID(INDEX(TabDH12[[#Headers],[:1]:[:19]],COLUMN()-COLUMN(TabDH12[[#Headers],[:1]])+1),2,3))</f>
        <v>0</v>
      </c>
      <c r="CV16" s="39">
        <f>Grunddaten7[[#This Row],[Sitze im Hauptorgan]]/_xlfn.NUMBERVALUE(MID(INDEX(TabDH12[[#Headers],[:1]:[:19]],COLUMN()-COLUMN(TabDH12[[#Headers],[:1]])+1),2,3))</f>
        <v>0</v>
      </c>
      <c r="CW16" s="39">
        <f>Grunddaten7[[#This Row],[Sitze im Hauptorgan]]/_xlfn.NUMBERVALUE(MID(INDEX(TabDH12[[#Headers],[:1]:[:19]],COLUMN()-COLUMN(TabDH12[[#Headers],[:1]])+1),2,3))</f>
        <v>0</v>
      </c>
      <c r="CX16" s="39">
        <f>Grunddaten7[[#This Row],[Sitze im Hauptorgan]]/_xlfn.NUMBERVALUE(MID(INDEX(TabDH12[[#Headers],[:1]:[:19]],COLUMN()-COLUMN(TabDH12[[#Headers],[:1]])+1),2,3))</f>
        <v>0</v>
      </c>
      <c r="CY16" s="39">
        <f>Grunddaten7[[#This Row],[Sitze im Hauptorgan]]/_xlfn.NUMBERVALUE(MID(INDEX(TabDH12[[#Headers],[:1]:[:19]],COLUMN()-COLUMN(TabDH12[[#Headers],[:1]])+1),2,3))</f>
        <v>0</v>
      </c>
      <c r="CZ16" s="39">
        <f>Grunddaten7[[#This Row],[Sitze im Hauptorgan]]/_xlfn.NUMBERVALUE(MID(INDEX(TabDH12[[#Headers],[:1]:[:19]],COLUMN()-COLUMN(TabDH12[[#Headers],[:1]])+1),2,3))</f>
        <v>0</v>
      </c>
      <c r="DA16" s="39">
        <f>Grunddaten7[[#This Row],[Sitze im Hauptorgan]]/_xlfn.NUMBERVALUE(MID(INDEX(TabDH12[[#Headers],[:1]:[:19]],COLUMN()-COLUMN(TabDH12[[#Headers],[:1]])+1),2,3))</f>
        <v>0</v>
      </c>
      <c r="DB16" s="39">
        <f>Grunddaten7[[#This Row],[Sitze im Hauptorgan]]/_xlfn.NUMBERVALUE(MID(INDEX(TabDH12[[#Headers],[:1]:[:19]],COLUMN()-COLUMN(TabDH12[[#Headers],[:1]])+1),2,3))</f>
        <v>0</v>
      </c>
      <c r="DC16" s="39">
        <f>Grunddaten7[[#This Row],[Sitze im Hauptorgan]]/_xlfn.NUMBERVALUE(MID(INDEX(TabDH12[[#Headers],[:1]:[:19]],COLUMN()-COLUMN(TabDH12[[#Headers],[:1]])+1),2,3))</f>
        <v>0</v>
      </c>
      <c r="DD16" s="39">
        <f>Grunddaten7[[#This Row],[Sitze im Hauptorgan]]/_xlfn.NUMBERVALUE(MID(INDEX(TabDH12[[#Headers],[:1]:[:19]],COLUMN()-COLUMN(TabDH12[[#Headers],[:1]])+1),2,3))</f>
        <v>0</v>
      </c>
      <c r="DE16" s="40">
        <f>Grunddaten7[[#This Row],[Sitze im Hauptorgan]]/_xlfn.NUMBERVALUE(MID(INDEX(TabDH12[[#Headers],[:1]:[:19]],COLUMN()-COLUMN(TabDH12[[#Headers],[:1]])+1),2,3))</f>
        <v>0</v>
      </c>
      <c r="DF16" s="41">
        <f>_xlfn.RANK.EQ(TabDH12[[#This Row],[:1]],TabDH12[[:1]:[:19]],0)</f>
        <v>134</v>
      </c>
      <c r="DG16" s="42">
        <f>_xlfn.RANK.EQ(TabDH12[[#This Row],[:2]],TabDH12[[:1]:[:19]],0)</f>
        <v>134</v>
      </c>
      <c r="DH16" s="42">
        <f>_xlfn.RANK.EQ(TabDH12[[#This Row],[:3]],TabDH12[[:1]:[:19]],0)</f>
        <v>134</v>
      </c>
      <c r="DI16" s="42">
        <f>_xlfn.RANK.EQ(TabDH12[[#This Row],[:4]],TabDH12[[:1]:[:19]],0)</f>
        <v>134</v>
      </c>
      <c r="DJ16" s="42">
        <f>_xlfn.RANK.EQ(TabDH12[[#This Row],[:5]],TabDH12[[:1]:[:19]],0)</f>
        <v>134</v>
      </c>
      <c r="DK16" s="42">
        <f>_xlfn.RANK.EQ(TabDH12[[#This Row],[:6]],TabDH12[[:1]:[:19]],0)</f>
        <v>134</v>
      </c>
      <c r="DL16" s="42">
        <f>_xlfn.RANK.EQ(TabDH12[[#This Row],[:7]],TabDH12[[:1]:[:19]],0)</f>
        <v>134</v>
      </c>
      <c r="DM16" s="42">
        <f>_xlfn.RANK.EQ(TabDH12[[#This Row],[:8]],TabDH12[[:1]:[:19]],0)</f>
        <v>134</v>
      </c>
      <c r="DN16" s="42">
        <f>_xlfn.RANK.EQ(TabDH12[[#This Row],[:9]],TabDH12[[:1]:[:19]],0)</f>
        <v>134</v>
      </c>
      <c r="DO16" s="42">
        <f>_xlfn.RANK.EQ(TabDH12[[#This Row],[:10]],TabDH12[[:1]:[:19]],0)</f>
        <v>134</v>
      </c>
      <c r="DP16" s="42">
        <f>_xlfn.RANK.EQ(TabDH12[[#This Row],[:11]],TabDH12[[:1]:[:19]],0)</f>
        <v>134</v>
      </c>
      <c r="DQ16" s="42">
        <f>_xlfn.RANK.EQ(TabDH12[[#This Row],[:12]],TabDH12[[:1]:[:19]],0)</f>
        <v>134</v>
      </c>
      <c r="DR16" s="42">
        <f>_xlfn.RANK.EQ(TabDH12[[#This Row],[:13]],TabDH12[[:1]:[:19]],0)</f>
        <v>134</v>
      </c>
      <c r="DS16" s="42">
        <f>_xlfn.RANK.EQ(TabDH12[[#This Row],[:14]],TabDH12[[:1]:[:19]],0)</f>
        <v>134</v>
      </c>
      <c r="DT16" s="42">
        <f>_xlfn.RANK.EQ(TabDH12[[#This Row],[:15]],TabDH12[[:1]:[:19]],0)</f>
        <v>134</v>
      </c>
      <c r="DU16" s="42">
        <f>_xlfn.RANK.EQ(TabDH12[[#This Row],[:16]],TabDH12[[:1]:[:19]],0)</f>
        <v>134</v>
      </c>
      <c r="DV16" s="42">
        <f>_xlfn.RANK.EQ(TabDH12[[#This Row],[:17]],TabDH12[[:1]:[:19]],0)</f>
        <v>134</v>
      </c>
      <c r="DW16" s="42">
        <f>_xlfn.RANK.EQ(TabDH12[[#This Row],[:18]],TabDH12[[:1]:[:19]],0)</f>
        <v>134</v>
      </c>
      <c r="DX16" s="43">
        <f>_xlfn.RANK.EQ(TabDH12[[#This Row],[:19]],TabDH12[[:1]:[:19]],0)</f>
        <v>134</v>
      </c>
      <c r="DY16" s="44" t="str">
        <f>IF(TabDH12[[#This Row],[R1]]&lt;=Sitze_Ausschuss,IF(TabDH12[[#This Row],[R1]]+COUNTIF(TabDH12[[R1]:[R19]],TabDH12[[#This Row],[R1]])-1&lt;=Sitze_Ausschuss,"SITZ","PATT"),"")</f>
        <v/>
      </c>
      <c r="DZ16" s="45" t="str">
        <f>IF(TabDH12[[#This Row],[R2]]&lt;=Sitze_Ausschuss,IF(TabDH12[[#This Row],[R2]]+COUNTIF(TabDH12[[R1]:[R19]],TabDH12[[#This Row],[R2]])-1&lt;=Sitze_Ausschuss,"SITZ","PATT"),"")</f>
        <v/>
      </c>
      <c r="EA16" s="45" t="str">
        <f>IF(TabDH12[[#This Row],[R3]]&lt;=Sitze_Ausschuss,IF(TabDH12[[#This Row],[R3]]+COUNTIF(TabDH12[[R1]:[R19]],TabDH12[[#This Row],[R3]])-1&lt;=Sitze_Ausschuss,"SITZ","PATT"),"")</f>
        <v/>
      </c>
      <c r="EB16" s="45" t="str">
        <f>IF(TabDH12[[#This Row],[R4]]&lt;=Sitze_Ausschuss,IF(TabDH12[[#This Row],[R4]]+COUNTIF(TabDH12[[R1]:[R19]],TabDH12[[#This Row],[R4]])-1&lt;=Sitze_Ausschuss,"SITZ","PATT"),"")</f>
        <v/>
      </c>
      <c r="EC16" s="45" t="str">
        <f>IF(TabDH12[[#This Row],[R5]]&lt;=Sitze_Ausschuss,IF(TabDH12[[#This Row],[R5]]+COUNTIF(TabDH12[[R1]:[R19]],TabDH12[[#This Row],[R5]])-1&lt;=Sitze_Ausschuss,"SITZ","PATT"),"")</f>
        <v/>
      </c>
      <c r="ED16" s="45" t="str">
        <f>IF(TabDH12[[#This Row],[R6]]&lt;=Sitze_Ausschuss,IF(TabDH12[[#This Row],[R6]]+COUNTIF(TabDH12[[R1]:[R19]],TabDH12[[#This Row],[R6]])-1&lt;=Sitze_Ausschuss,"SITZ","PATT"),"")</f>
        <v/>
      </c>
      <c r="EE16" s="45" t="str">
        <f>IF(TabDH12[[#This Row],[R7]]&lt;=Sitze_Ausschuss,IF(TabDH12[[#This Row],[R7]]+COUNTIF(TabDH12[[R1]:[R19]],TabDH12[[#This Row],[R7]])-1&lt;=Sitze_Ausschuss,"SITZ","PATT"),"")</f>
        <v/>
      </c>
      <c r="EF16" s="45" t="str">
        <f>IF(TabDH12[[#This Row],[R8]]&lt;=Sitze_Ausschuss,IF(TabDH12[[#This Row],[R8]]+COUNTIF(TabDH12[[R1]:[R19]],TabDH12[[#This Row],[R8]])-1&lt;=Sitze_Ausschuss,"SITZ","PATT"),"")</f>
        <v/>
      </c>
      <c r="EG16" s="45" t="str">
        <f>IF(TabDH12[[#This Row],[R9]]&lt;=Sitze_Ausschuss,IF(TabDH12[[#This Row],[R9]]+COUNTIF(TabDH12[[R1]:[R19]],TabDH12[[#This Row],[R9]])-1&lt;=Sitze_Ausschuss,"SITZ","PATT"),"")</f>
        <v/>
      </c>
      <c r="EH16" s="45" t="str">
        <f>IF(TabDH12[[#This Row],[R10]]&lt;=Sitze_Ausschuss,IF(TabDH12[[#This Row],[R10]]+COUNTIF(TabDH12[[R1]:[R19]],TabDH12[[#This Row],[R10]])-1&lt;=Sitze_Ausschuss,"SITZ","PATT"),"")</f>
        <v/>
      </c>
      <c r="EI16" s="45" t="str">
        <f>IF(TabDH12[[#This Row],[R11]]&lt;=Sitze_Ausschuss,IF(TabDH12[[#This Row],[R11]]+COUNTIF(TabDH12[[R1]:[R19]],TabDH12[[#This Row],[R11]])-1&lt;=Sitze_Ausschuss,"SITZ","PATT"),"")</f>
        <v/>
      </c>
      <c r="EJ16" s="45" t="str">
        <f>IF(TabDH12[[#This Row],[R12]]&lt;=Sitze_Ausschuss,IF(TabDH12[[#This Row],[R12]]+COUNTIF(TabDH12[[R1]:[R19]],TabDH12[[#This Row],[R12]])-1&lt;=Sitze_Ausschuss,"SITZ","PATT"),"")</f>
        <v/>
      </c>
      <c r="EK16" s="45" t="str">
        <f>IF(TabDH12[[#This Row],[R13]]&lt;=Sitze_Ausschuss,IF(TabDH12[[#This Row],[R13]]+COUNTIF(TabDH12[[R1]:[R19]],TabDH12[[#This Row],[R13]])-1&lt;=Sitze_Ausschuss,"SITZ","PATT"),"")</f>
        <v/>
      </c>
      <c r="EL16" s="45" t="str">
        <f>IF(TabDH12[[#This Row],[R14]]&lt;=Sitze_Ausschuss,IF(TabDH12[[#This Row],[R14]]+COUNTIF(TabDH12[[R1]:[R19]],TabDH12[[#This Row],[R14]])-1&lt;=Sitze_Ausschuss,"SITZ","PATT"),"")</f>
        <v/>
      </c>
      <c r="EM16" s="45" t="str">
        <f>IF(TabDH12[[#This Row],[R15]]&lt;=Sitze_Ausschuss,IF(TabDH12[[#This Row],[R15]]+COUNTIF(TabDH12[[R1]:[R19]],TabDH12[[#This Row],[R15]])-1&lt;=Sitze_Ausschuss,"SITZ","PATT"),"")</f>
        <v/>
      </c>
      <c r="EN16" s="45" t="str">
        <f>IF(TabDH12[[#This Row],[R16]]&lt;=Sitze_Ausschuss,IF(TabDH12[[#This Row],[R16]]+COUNTIF(TabDH12[[R1]:[R19]],TabDH12[[#This Row],[R16]])-1&lt;=Sitze_Ausschuss,"SITZ","PATT"),"")</f>
        <v/>
      </c>
      <c r="EO16" s="45" t="str">
        <f>IF(TabDH12[[#This Row],[R17]]&lt;=Sitze_Ausschuss,IF(TabDH12[[#This Row],[R17]]+COUNTIF(TabDH12[[R1]:[R19]],TabDH12[[#This Row],[R17]])-1&lt;=Sitze_Ausschuss,"SITZ","PATT"),"")</f>
        <v/>
      </c>
      <c r="EP16" s="45" t="str">
        <f>IF(TabDH12[[#This Row],[R18]]&lt;=Sitze_Ausschuss,IF(TabDH12[[#This Row],[R18]]+COUNTIF(TabDH12[[R1]:[R19]],TabDH12[[#This Row],[R18]])-1&lt;=Sitze_Ausschuss,"SITZ","PATT"),"")</f>
        <v/>
      </c>
      <c r="EQ16" s="45" t="str">
        <f>IF(TabDH12[[#This Row],[R19]]&lt;=Sitze_Ausschuss,IF(TabDH12[[#This Row],[R19]]+COUNTIF(TabDH12[[R1]:[R19]],TabDH12[[#This Row],[R19]])-1&lt;=Sitze_Ausschuss,"SITZ","PATT"),"")</f>
        <v/>
      </c>
      <c r="ER16" s="47" t="b">
        <f>COUNTIF(TabDH12[[#This Row],[SP1]:[SP19]],"PATT")&gt;0</f>
        <v>0</v>
      </c>
      <c r="ES16" s="33">
        <f>IF(TabDH12[[#This Row],[Patt]],(Sitze_Ausschuss-SUM(TabDH12[Sitze]))/TabDH12[[#Totals],[Patt]],0)</f>
        <v>0</v>
      </c>
      <c r="ET16" s="48">
        <f>TabDH12[[#This Row],[Patt]]*IF(Pattaufloesung="Stimmen",TabPatt11[[#This Row],[Stimmen]],0)*1</f>
        <v>0</v>
      </c>
      <c r="EU16" s="49" t="b">
        <f>_xlfn.RANK.EQ(TabDH12[[#This Row],[Stimmen/Gelost]],TabDH12[Stimmen/Gelost],0)&lt;=(Sitze_Ausschuss-SUM(TabDH12[Sitze]))</f>
        <v>1</v>
      </c>
      <c r="EV16" s="50" t="b">
        <f>OR(TabDH12[[#This Row],[Sitze]]&lt;ROUNDDOWN(Grunddaten7[[#This Row],[Proporzgenaue Zahl Ausschuss]],0),TabDH12[[#This Row],[Sitze]]+(TabDH12[[#This Row],[Patt]]*1)&gt;ROUNDUP(Grunddaten7[[#This Row],[Proporzgenaue Zahl Ausschuss]],0))</f>
        <v>0</v>
      </c>
      <c r="EW16" s="3"/>
      <c r="EX16" s="51" t="str">
        <f>Grunddaten7[[#This Row],[Partei/Wählergruppe]]&amp;""</f>
        <v/>
      </c>
      <c r="EY16" s="51">
        <f t="shared" si="6"/>
        <v>0</v>
      </c>
      <c r="EZ16" s="3"/>
      <c r="FA16" s="3"/>
      <c r="FB16" s="3"/>
      <c r="FC16" s="3"/>
      <c r="FD16" s="3"/>
    </row>
    <row r="17" spans="1:160" ht="15.75" thickBot="1" x14ac:dyDescent="0.3">
      <c r="A17" s="3"/>
      <c r="B17" s="89" t="str">
        <f t="shared" si="0"/>
        <v/>
      </c>
      <c r="C17" s="91">
        <f t="shared" si="1"/>
        <v>0</v>
      </c>
      <c r="D17" s="168">
        <f>Grunddaten7[[#This Row],[Sitze im Hauptorgan]]/Grunddaten7[[#Totals],[Sitze im Hauptorgan]]*Sitze_Ausschuss</f>
        <v>0</v>
      </c>
      <c r="E17" s="159">
        <f>IF(ROUNDDOWN(Grunddaten7[[#This Row],[Proporzgenaue Zahl Ausschuss]],0)&lt;&gt;ROUNDUP(Grunddaten7[[#This Row],[Proporzgenaue Zahl Ausschuss]],0), ROUNDDOWN(Grunddaten7[[#This Row],[Proporzgenaue Zahl Ausschuss]],0)&amp;" oder "&amp;ROUNDUP(Grunddaten7[[#This Row],[Proporzgenaue Zahl Ausschuss]],0),ROUND(Grunddaten7[[#This Row],[Proporzgenaue Zahl Ausschuss]],0))</f>
        <v>0</v>
      </c>
      <c r="F17" s="52" t="str">
        <f t="shared" si="2"/>
        <v>OK</v>
      </c>
      <c r="G17" s="52" t="str">
        <f>IF(TabSLS10[[#This Row],[QK verletzt]],"NOK","OK")</f>
        <v>OK</v>
      </c>
      <c r="H17" s="53" t="str">
        <f>IF(TabDH12[[#This Row],[QK verletzt]],"NOK","OK")</f>
        <v>OK</v>
      </c>
      <c r="I17" s="163">
        <f t="shared" si="3"/>
        <v>0</v>
      </c>
      <c r="J17" s="163">
        <f t="shared" si="4"/>
        <v>0</v>
      </c>
      <c r="K17" s="163">
        <f t="shared" si="5"/>
        <v>0</v>
      </c>
      <c r="L17" s="3"/>
      <c r="M17" s="92">
        <f>TabHN9[[#This Row],[S ganz]]+IF(NOT(TabHN9[[#This Row],[Patt]]),TabHN9[[#This Row],[Restsitz]],0)</f>
        <v>0</v>
      </c>
      <c r="N17" s="162">
        <f>IF(TabHN9[[#This Row],[Patt]],IF(Pattaufloesung="Los-Chance",TabHN9[[#This Row],[Los Chance]],TabHN9[[#This Row],[Pattgewinn]]+0),0)</f>
        <v>0</v>
      </c>
      <c r="O17" s="30">
        <f>INT(Grunddaten7[[#This Row],[Proporzgenaue Zahl Ausschuss]])</f>
        <v>0</v>
      </c>
      <c r="P17" s="31">
        <f>ROUND(Grunddaten7[[#This Row],[Proporzgenaue Zahl Ausschuss]]-TabHN9[[#This Row],[S ganz]],4)</f>
        <v>0</v>
      </c>
      <c r="Q17" s="32">
        <f>_xlfn.RANK.EQ(TabHN9[[#This Row],[S Rest]],TabHN9[S Rest],0)</f>
        <v>5</v>
      </c>
      <c r="R17" s="30">
        <f>IF(TabHN9[[#This Row],[Rng Rest]]&lt;=TabHN9[[#Totals],[S Rest]],1,0)</f>
        <v>0</v>
      </c>
      <c r="S17" s="30" t="b">
        <f>AND(TabHN9[[#This Row],[Restsitz]]=1,(COUNTIF(TabHN9[Rng Rest],TabHN9[[#This Row],[Rng Rest]])+TabHN9[[#This Row],[Rng Rest]]-1)&gt;TabHN9[[#Totals],[S Rest]])</f>
        <v>0</v>
      </c>
      <c r="T17" s="33">
        <f>IF(TabHN9[[#This Row],[Patt]],(Sitze_Ausschuss-SUM(TabHN9[Sitze]))/TabHN9[[#Totals],[Patt]],0)</f>
        <v>0</v>
      </c>
      <c r="U17" s="34">
        <f>TabHN9[[#This Row],[Patt]]*IF(Pattaufloesung="Stimmen",TabPatt11[[#This Row],[Stimmen]],0)*1</f>
        <v>0</v>
      </c>
      <c r="V17" s="35" t="b">
        <f>_xlfn.RANK.EQ(TabHN9[[#This Row],[Stimmen/Gelost]],TabHN9[Stimmen/Gelost],0)&lt;=(Sitze_Ausschuss-SUM(TabHN9[Sitze]))</f>
        <v>0</v>
      </c>
      <c r="W17" s="3"/>
      <c r="X17" s="36">
        <f>COUNTIF(TabSLS10[[#This Row],[SP1]:[SP37]],"SITZ")</f>
        <v>0</v>
      </c>
      <c r="Y17" s="37">
        <f>IF(TabSLS10[[#This Row],[Patt?]],IF(Pattaufloesung="Los-Chance",TabSLS10[[#This Row],[Los Chance]],TabSLS10[[#This Row],[Pattgewinn]]+0),0)</f>
        <v>0</v>
      </c>
      <c r="Z17" s="38">
        <f>Grunddaten7[[#This Row],[Sitze im Hauptorgan]]/_xlfn.NUMBERVALUE(MID(INDEX(TabSLS10[[#Headers],[:1]:[:37]],COLUMN()-COLUMN(TabSLS10[[#Headers],[:1]])+1),2,3))</f>
        <v>0</v>
      </c>
      <c r="AA17" s="39">
        <f>Grunddaten7[[#This Row],[Sitze im Hauptorgan]]/_xlfn.NUMBERVALUE(MID(INDEX(TabSLS10[[#Headers],[:1]:[:37]],COLUMN()-COLUMN(TabSLS10[[#Headers],[:1]])+1),2,3))</f>
        <v>0</v>
      </c>
      <c r="AB17" s="39">
        <f>Grunddaten7[[#This Row],[Sitze im Hauptorgan]]/_xlfn.NUMBERVALUE(MID(INDEX(TabSLS10[[#Headers],[:1]:[:37]],COLUMN()-COLUMN(TabSLS10[[#Headers],[:1]])+1),2,3))</f>
        <v>0</v>
      </c>
      <c r="AC17" s="39">
        <f>Grunddaten7[[#This Row],[Sitze im Hauptorgan]]/_xlfn.NUMBERVALUE(MID(INDEX(TabSLS10[[#Headers],[:1]:[:37]],COLUMN()-COLUMN(TabSLS10[[#Headers],[:1]])+1),2,3))</f>
        <v>0</v>
      </c>
      <c r="AD17" s="39">
        <f>Grunddaten7[[#This Row],[Sitze im Hauptorgan]]/_xlfn.NUMBERVALUE(MID(INDEX(TabSLS10[[#Headers],[:1]:[:37]],COLUMN()-COLUMN(TabSLS10[[#Headers],[:1]])+1),2,3))</f>
        <v>0</v>
      </c>
      <c r="AE17" s="39">
        <f>Grunddaten7[[#This Row],[Sitze im Hauptorgan]]/_xlfn.NUMBERVALUE(MID(INDEX(TabSLS10[[#Headers],[:1]:[:37]],COLUMN()-COLUMN(TabSLS10[[#Headers],[:1]])+1),2,3))</f>
        <v>0</v>
      </c>
      <c r="AF17" s="39">
        <f>Grunddaten7[[#This Row],[Sitze im Hauptorgan]]/_xlfn.NUMBERVALUE(MID(INDEX(TabSLS10[[#Headers],[:1]:[:37]],COLUMN()-COLUMN(TabSLS10[[#Headers],[:1]])+1),2,3))</f>
        <v>0</v>
      </c>
      <c r="AG17" s="39">
        <f>Grunddaten7[[#This Row],[Sitze im Hauptorgan]]/_xlfn.NUMBERVALUE(MID(INDEX(TabSLS10[[#Headers],[:1]:[:37]],COLUMN()-COLUMN(TabSLS10[[#Headers],[:1]])+1),2,3))</f>
        <v>0</v>
      </c>
      <c r="AH17" s="39">
        <f>Grunddaten7[[#This Row],[Sitze im Hauptorgan]]/_xlfn.NUMBERVALUE(MID(INDEX(TabSLS10[[#Headers],[:1]:[:37]],COLUMN()-COLUMN(TabSLS10[[#Headers],[:1]])+1),2,3))</f>
        <v>0</v>
      </c>
      <c r="AI17" s="39">
        <f>Grunddaten7[[#This Row],[Sitze im Hauptorgan]]/_xlfn.NUMBERVALUE(MID(INDEX(TabSLS10[[#Headers],[:1]:[:37]],COLUMN()-COLUMN(TabSLS10[[#Headers],[:1]])+1),2,3))</f>
        <v>0</v>
      </c>
      <c r="AJ17" s="39">
        <f>Grunddaten7[[#This Row],[Sitze im Hauptorgan]]/_xlfn.NUMBERVALUE(MID(INDEX(TabSLS10[[#Headers],[:1]:[:37]],COLUMN()-COLUMN(TabSLS10[[#Headers],[:1]])+1),2,3))</f>
        <v>0</v>
      </c>
      <c r="AK17" s="39">
        <f>Grunddaten7[[#This Row],[Sitze im Hauptorgan]]/_xlfn.NUMBERVALUE(MID(INDEX(TabSLS10[[#Headers],[:1]:[:37]],COLUMN()-COLUMN(TabSLS10[[#Headers],[:1]])+1),2,3))</f>
        <v>0</v>
      </c>
      <c r="AL17" s="39">
        <f>Grunddaten7[[#This Row],[Sitze im Hauptorgan]]/_xlfn.NUMBERVALUE(MID(INDEX(TabSLS10[[#Headers],[:1]:[:37]],COLUMN()-COLUMN(TabSLS10[[#Headers],[:1]])+1),2,3))</f>
        <v>0</v>
      </c>
      <c r="AM17" s="39">
        <f>Grunddaten7[[#This Row],[Sitze im Hauptorgan]]/_xlfn.NUMBERVALUE(MID(INDEX(TabSLS10[[#Headers],[:1]:[:37]],COLUMN()-COLUMN(TabSLS10[[#Headers],[:1]])+1),2,3))</f>
        <v>0</v>
      </c>
      <c r="AN17" s="39">
        <f>Grunddaten7[[#This Row],[Sitze im Hauptorgan]]/_xlfn.NUMBERVALUE(MID(INDEX(TabSLS10[[#Headers],[:1]:[:37]],COLUMN()-COLUMN(TabSLS10[[#Headers],[:1]])+1),2,3))</f>
        <v>0</v>
      </c>
      <c r="AO17" s="39">
        <f>Grunddaten7[[#This Row],[Sitze im Hauptorgan]]/_xlfn.NUMBERVALUE(MID(INDEX(TabSLS10[[#Headers],[:1]:[:37]],COLUMN()-COLUMN(TabSLS10[[#Headers],[:1]])+1),2,3))</f>
        <v>0</v>
      </c>
      <c r="AP17" s="39">
        <f>Grunddaten7[[#This Row],[Sitze im Hauptorgan]]/_xlfn.NUMBERVALUE(MID(INDEX(TabSLS10[[#Headers],[:1]:[:37]],COLUMN()-COLUMN(TabSLS10[[#Headers],[:1]])+1),2,3))</f>
        <v>0</v>
      </c>
      <c r="AQ17" s="39">
        <f>Grunddaten7[[#This Row],[Sitze im Hauptorgan]]/_xlfn.NUMBERVALUE(MID(INDEX(TabSLS10[[#Headers],[:1]:[:37]],COLUMN()-COLUMN(TabSLS10[[#Headers],[:1]])+1),2,3))</f>
        <v>0</v>
      </c>
      <c r="AR17" s="40">
        <f>Grunddaten7[[#This Row],[Sitze im Hauptorgan]]/_xlfn.NUMBERVALUE(MID(INDEX(TabSLS10[[#Headers],[:1]:[:37]],COLUMN()-COLUMN(TabSLS10[[#Headers],[:1]])+1),2,3))</f>
        <v>0</v>
      </c>
      <c r="AS17" s="41">
        <f>_xlfn.RANK.EQ(TabSLS10[[#This Row],[:1]],TabSLS10[[:1]:[:37]],0)</f>
        <v>134</v>
      </c>
      <c r="AT17" s="42">
        <f>_xlfn.RANK.EQ(TabSLS10[[#This Row],[:3]],TabSLS10[[:1]:[:37]],0)</f>
        <v>134</v>
      </c>
      <c r="AU17" s="42">
        <f>_xlfn.RANK.EQ(TabSLS10[[#This Row],[:5]],TabSLS10[[:1]:[:37]],0)</f>
        <v>134</v>
      </c>
      <c r="AV17" s="42">
        <f>_xlfn.RANK.EQ(TabSLS10[[#This Row],[:7]],TabSLS10[[:1]:[:37]],0)</f>
        <v>134</v>
      </c>
      <c r="AW17" s="42">
        <f>_xlfn.RANK.EQ(TabSLS10[[#This Row],[:9]],TabSLS10[[:1]:[:37]],0)</f>
        <v>134</v>
      </c>
      <c r="AX17" s="42">
        <f>_xlfn.RANK.EQ(TabSLS10[[#This Row],[:11]],TabSLS10[[:1]:[:37]],0)</f>
        <v>134</v>
      </c>
      <c r="AY17" s="42">
        <f>_xlfn.RANK.EQ(TabSLS10[[#This Row],[:13]],TabSLS10[[:1]:[:37]],0)</f>
        <v>134</v>
      </c>
      <c r="AZ17" s="42">
        <f>_xlfn.RANK.EQ(TabSLS10[[#This Row],[:15]],TabSLS10[[:1]:[:37]],0)</f>
        <v>134</v>
      </c>
      <c r="BA17" s="42">
        <f>_xlfn.RANK.EQ(TabSLS10[[#This Row],[:17]],TabSLS10[[:1]:[:37]],0)</f>
        <v>134</v>
      </c>
      <c r="BB17" s="42">
        <f>_xlfn.RANK.EQ(TabSLS10[[#This Row],[:19]],TabSLS10[[:1]:[:37]],0)</f>
        <v>134</v>
      </c>
      <c r="BC17" s="42">
        <f>_xlfn.RANK.EQ(TabSLS10[[#This Row],[:21]],TabSLS10[[:1]:[:37]],0)</f>
        <v>134</v>
      </c>
      <c r="BD17" s="42">
        <f>_xlfn.RANK.EQ(TabSLS10[[#This Row],[:23]],TabSLS10[[:1]:[:37]],0)</f>
        <v>134</v>
      </c>
      <c r="BE17" s="42">
        <f>_xlfn.RANK.EQ(TabSLS10[[#This Row],[:25]],TabSLS10[[:1]:[:37]],0)</f>
        <v>134</v>
      </c>
      <c r="BF17" s="42">
        <f>_xlfn.RANK.EQ(TabSLS10[[#This Row],[:27]],TabSLS10[[:1]:[:37]],0)</f>
        <v>134</v>
      </c>
      <c r="BG17" s="42">
        <f>_xlfn.RANK.EQ(TabSLS10[[#This Row],[:29]],TabSLS10[[:1]:[:37]],0)</f>
        <v>134</v>
      </c>
      <c r="BH17" s="42">
        <f>_xlfn.RANK.EQ(TabSLS10[[#This Row],[:31]],TabSLS10[[:1]:[:37]],0)</f>
        <v>134</v>
      </c>
      <c r="BI17" s="42">
        <f>_xlfn.RANK.EQ(TabSLS10[[#This Row],[:33]],TabSLS10[[:1]:[:37]],0)</f>
        <v>134</v>
      </c>
      <c r="BJ17" s="42">
        <f>_xlfn.RANK.EQ(TabSLS10[[#This Row],[:35]],TabSLS10[[:1]:[:37]],0)</f>
        <v>134</v>
      </c>
      <c r="BK17" s="43">
        <f>_xlfn.RANK.EQ(TabSLS10[[#This Row],[:37]],TabSLS10[[:1]:[:37]],0)</f>
        <v>134</v>
      </c>
      <c r="BL17" s="44" t="str">
        <f>IF(TabSLS10[[#This Row],[R1]]&lt;=Sitze_Ausschuss,IF(TabSLS10[[#This Row],[R1]]+COUNTIF(TabSLS10[[R1]:[R37]],TabSLS10[[#This Row],[R1]])-1&lt;=Sitze_Ausschuss,"SITZ","PATT"),"")</f>
        <v/>
      </c>
      <c r="BM17" s="45" t="str">
        <f>IF(TabSLS10[[#This Row],[R3]]&lt;=Sitze_Ausschuss,IF(TabSLS10[[#This Row],[R3]]+COUNTIF(TabSLS10[[R1]:[R37]],TabSLS10[[#This Row],[R3]])-1&lt;=Sitze_Ausschuss,"SITZ","PATT"),"")</f>
        <v/>
      </c>
      <c r="BN17" s="45" t="str">
        <f>IF(TabSLS10[[#This Row],[R5]]&lt;=Sitze_Ausschuss,IF(TabSLS10[[#This Row],[R5]]+COUNTIF(TabSLS10[[R1]:[R37]],TabSLS10[[#This Row],[R5]])-1&lt;=Sitze_Ausschuss,"SITZ","PATT"),"")</f>
        <v/>
      </c>
      <c r="BO17" s="45" t="str">
        <f>IF(TabSLS10[[#This Row],[R7]]&lt;=Sitze_Ausschuss,IF(TabSLS10[[#This Row],[R7]]+COUNTIF(TabSLS10[[R1]:[R37]],TabSLS10[[#This Row],[R7]])-1&lt;=Sitze_Ausschuss,"SITZ","PATT"),"")</f>
        <v/>
      </c>
      <c r="BP17" s="45" t="str">
        <f>IF(TabSLS10[[#This Row],[R9]]&lt;=Sitze_Ausschuss,IF(TabSLS10[[#This Row],[R9]]+COUNTIF(TabSLS10[[R1]:[R37]],TabSLS10[[#This Row],[R9]])-1&lt;=Sitze_Ausschuss,"SITZ","PATT"),"")</f>
        <v/>
      </c>
      <c r="BQ17" s="45" t="str">
        <f>IF(TabSLS10[[#This Row],[R11]]&lt;=Sitze_Ausschuss,IF(TabSLS10[[#This Row],[R11]]+COUNTIF(TabSLS10[[R1]:[R37]],TabSLS10[[#This Row],[R11]])-1&lt;=Sitze_Ausschuss,"SITZ","PATT"),"")</f>
        <v/>
      </c>
      <c r="BR17" s="45" t="str">
        <f>IF(TabSLS10[[#This Row],[R13]]&lt;=Sitze_Ausschuss,IF(TabSLS10[[#This Row],[R13]]+COUNTIF(TabSLS10[[R1]:[R37]],TabSLS10[[#This Row],[R13]])-1&lt;=Sitze_Ausschuss,"SITZ","PATT"),"")</f>
        <v/>
      </c>
      <c r="BS17" s="45" t="str">
        <f>IF(TabSLS10[[#This Row],[R15]]&lt;=Sitze_Ausschuss,IF(TabSLS10[[#This Row],[R15]]+COUNTIF(TabSLS10[[R1]:[R37]],TabSLS10[[#This Row],[R15]])-1&lt;=Sitze_Ausschuss,"SITZ","PATT"),"")</f>
        <v/>
      </c>
      <c r="BT17" s="45" t="str">
        <f>IF(TabSLS10[[#This Row],[R17]]&lt;=Sitze_Ausschuss,IF(TabSLS10[[#This Row],[R17]]+COUNTIF(TabSLS10[[R1]:[R37]],TabSLS10[[#This Row],[R17]])-1&lt;=Sitze_Ausschuss,"SITZ","PATT"),"")</f>
        <v/>
      </c>
      <c r="BU17" s="45" t="str">
        <f>IF(TabSLS10[[#This Row],[R19]]&lt;=Sitze_Ausschuss,IF(TabSLS10[[#This Row],[R19]]+COUNTIF(TabSLS10[[R1]:[R37]],TabSLS10[[#This Row],[R19]])-1&lt;=Sitze_Ausschuss,"SITZ","PATT"),"")</f>
        <v/>
      </c>
      <c r="BV17" s="45" t="str">
        <f>IF(TabSLS10[[#This Row],[R21]]&lt;=Sitze_Ausschuss,IF(TabSLS10[[#This Row],[R21]]+COUNTIF(TabSLS10[[R1]:[R37]],TabSLS10[[#This Row],[R21]])-1&lt;=Sitze_Ausschuss,"SITZ","PATT"),"")</f>
        <v/>
      </c>
      <c r="BW17" s="45" t="str">
        <f>IF(TabSLS10[[#This Row],[R23]]&lt;=Sitze_Ausschuss,IF(TabSLS10[[#This Row],[R23]]+COUNTIF(TabSLS10[[R1]:[R37]],TabSLS10[[#This Row],[R23]])-1&lt;=Sitze_Ausschuss,"SITZ","PATT"),"")</f>
        <v/>
      </c>
      <c r="BX17" s="45" t="str">
        <f>IF(TabSLS10[[#This Row],[R25]]&lt;=Sitze_Ausschuss,IF(TabSLS10[[#This Row],[R25]]+COUNTIF(TabSLS10[[R1]:[R37]],TabSLS10[[#This Row],[R25]])-1&lt;=Sitze_Ausschuss,"SITZ","PATT"),"")</f>
        <v/>
      </c>
      <c r="BY17" s="45" t="str">
        <f>IF(TabSLS10[[#This Row],[R27]]&lt;=Sitze_Ausschuss,IF(TabSLS10[[#This Row],[R27]]+COUNTIF(TabSLS10[[R1]:[R37]],TabSLS10[[#This Row],[R27]])-1&lt;=Sitze_Ausschuss,"SITZ","PATT"),"")</f>
        <v/>
      </c>
      <c r="BZ17" s="45" t="str">
        <f>IF(TabSLS10[[#This Row],[R29]]&lt;=Sitze_Ausschuss,IF(TabSLS10[[#This Row],[R29]]+COUNTIF(TabSLS10[[R1]:[R37]],TabSLS10[[#This Row],[R29]])-1&lt;=Sitze_Ausschuss,"SITZ","PATT"),"")</f>
        <v/>
      </c>
      <c r="CA17" s="45" t="str">
        <f>IF(TabSLS10[[#This Row],[R31]]&lt;=Sitze_Ausschuss,IF(TabSLS10[[#This Row],[R31]]+COUNTIF(TabSLS10[[R1]:[R37]],TabSLS10[[#This Row],[R31]])-1&lt;=Sitze_Ausschuss,"SITZ","PATT"),"")</f>
        <v/>
      </c>
      <c r="CB17" s="45" t="str">
        <f>IF(TabSLS10[[#This Row],[R33]]&lt;=Sitze_Ausschuss,IF(TabSLS10[[#This Row],[R33]]+COUNTIF(TabSLS10[[R1]:[R37]],TabSLS10[[#This Row],[R33]])-1&lt;=Sitze_Ausschuss,"SITZ","PATT"),"")</f>
        <v/>
      </c>
      <c r="CC17" s="45" t="str">
        <f>IF(TabSLS10[[#This Row],[R35]]&lt;=Sitze_Ausschuss,IF(TabSLS10[[#This Row],[R35]]+COUNTIF(TabSLS10[[R1]:[R37]],TabSLS10[[#This Row],[R35]])-1&lt;=Sitze_Ausschuss,"SITZ","PATT"),"")</f>
        <v/>
      </c>
      <c r="CD17" s="46" t="str">
        <f>IF(TabSLS10[[#This Row],[R37]]&lt;=Sitze_Ausschuss,IF(TabSLS10[[#This Row],[R37]]+COUNTIF(TabSLS10[[R1]:[R37]],TabSLS10[[#This Row],[R37]])-1&lt;=Sitze_Ausschuss,"SITZ","PATT"),"")</f>
        <v/>
      </c>
      <c r="CE17" s="47" t="b">
        <f>COUNTIF(TabSLS10[[#This Row],[SP1]:[SP37]],"PATT")&gt;0</f>
        <v>0</v>
      </c>
      <c r="CF17" s="33">
        <f>IF(TabSLS10[[#This Row],[Patt?]],(Sitze_Ausschuss-SUM(TabSLS10[Sitze]))/TabSLS10[[#Totals],[Patt?]],0)</f>
        <v>0</v>
      </c>
      <c r="CG17" s="48">
        <f>TabSLS10[[#This Row],[Patt?]]*IF(Pattaufloesung="Stimmen",TabPatt11[[#This Row],[Stimmen]],0)*1</f>
        <v>0</v>
      </c>
      <c r="CH17" s="49" t="b">
        <f>_xlfn.RANK.EQ(TabSLS10[[#This Row],[Stimmen Gelost]],TabSLS10[Stimmen Gelost],0)&lt;=(Sitze_Ausschuss-SUM(TabSLS10[Sitze]))</f>
        <v>0</v>
      </c>
      <c r="CI17" s="50" t="b">
        <f>OR(TabSLS10[[#This Row],[Sitze]]&lt;ROUNDDOWN(Grunddaten7[[#This Row],[Proporzgenaue Zahl Ausschuss]],0),TabSLS10[[#This Row],[Sitze]]+(TabSLS10[[#This Row],[Patt?]]*1)&gt;ROUNDUP(Grunddaten7[[#This Row],[Proporzgenaue Zahl Ausschuss]],0))</f>
        <v>0</v>
      </c>
      <c r="CJ17" s="3"/>
      <c r="CK17" s="36">
        <f>COUNTIF(TabDH12[[#This Row],[SP1]:[SP19]],"SITZ")</f>
        <v>0</v>
      </c>
      <c r="CL17" s="37">
        <f>IF(TabDH12[[#This Row],[Patt]],IF(Pattaufloesung="Los-Chance",TabDH12[[#This Row],[Los Chance]],TabDH12[[#This Row],[Pattgewinn]]+0),0)</f>
        <v>0</v>
      </c>
      <c r="CM17" s="38">
        <f>Grunddaten7[[#This Row],[Sitze im Hauptorgan]]/_xlfn.NUMBERVALUE(MID(INDEX(TabDH12[[#Headers],[:1]:[:19]],COLUMN()-COLUMN(TabDH12[[#Headers],[:1]])+1),2,3))</f>
        <v>0</v>
      </c>
      <c r="CN17" s="39">
        <f>Grunddaten7[[#This Row],[Sitze im Hauptorgan]]/_xlfn.NUMBERVALUE(MID(INDEX(TabDH12[[#Headers],[:1]:[:19]],COLUMN()-COLUMN(TabDH12[[#Headers],[:1]])+1),2,3))</f>
        <v>0</v>
      </c>
      <c r="CO17" s="39">
        <f>Grunddaten7[[#This Row],[Sitze im Hauptorgan]]/_xlfn.NUMBERVALUE(MID(INDEX(TabDH12[[#Headers],[:1]:[:19]],COLUMN()-COLUMN(TabDH12[[#Headers],[:1]])+1),2,3))</f>
        <v>0</v>
      </c>
      <c r="CP17" s="39">
        <f>Grunddaten7[[#This Row],[Sitze im Hauptorgan]]/_xlfn.NUMBERVALUE(MID(INDEX(TabDH12[[#Headers],[:1]:[:19]],COLUMN()-COLUMN(TabDH12[[#Headers],[:1]])+1),2,3))</f>
        <v>0</v>
      </c>
      <c r="CQ17" s="39">
        <f>Grunddaten7[[#This Row],[Sitze im Hauptorgan]]/_xlfn.NUMBERVALUE(MID(INDEX(TabDH12[[#Headers],[:1]:[:19]],COLUMN()-COLUMN(TabDH12[[#Headers],[:1]])+1),2,3))</f>
        <v>0</v>
      </c>
      <c r="CR17" s="39">
        <f>Grunddaten7[[#This Row],[Sitze im Hauptorgan]]/_xlfn.NUMBERVALUE(MID(INDEX(TabDH12[[#Headers],[:1]:[:19]],COLUMN()-COLUMN(TabDH12[[#Headers],[:1]])+1),2,3))</f>
        <v>0</v>
      </c>
      <c r="CS17" s="39">
        <f>Grunddaten7[[#This Row],[Sitze im Hauptorgan]]/_xlfn.NUMBERVALUE(MID(INDEX(TabDH12[[#Headers],[:1]:[:19]],COLUMN()-COLUMN(TabDH12[[#Headers],[:1]])+1),2,3))</f>
        <v>0</v>
      </c>
      <c r="CT17" s="39">
        <f>Grunddaten7[[#This Row],[Sitze im Hauptorgan]]/_xlfn.NUMBERVALUE(MID(INDEX(TabDH12[[#Headers],[:1]:[:19]],COLUMN()-COLUMN(TabDH12[[#Headers],[:1]])+1),2,3))</f>
        <v>0</v>
      </c>
      <c r="CU17" s="39">
        <f>Grunddaten7[[#This Row],[Sitze im Hauptorgan]]/_xlfn.NUMBERVALUE(MID(INDEX(TabDH12[[#Headers],[:1]:[:19]],COLUMN()-COLUMN(TabDH12[[#Headers],[:1]])+1),2,3))</f>
        <v>0</v>
      </c>
      <c r="CV17" s="39">
        <f>Grunddaten7[[#This Row],[Sitze im Hauptorgan]]/_xlfn.NUMBERVALUE(MID(INDEX(TabDH12[[#Headers],[:1]:[:19]],COLUMN()-COLUMN(TabDH12[[#Headers],[:1]])+1),2,3))</f>
        <v>0</v>
      </c>
      <c r="CW17" s="39">
        <f>Grunddaten7[[#This Row],[Sitze im Hauptorgan]]/_xlfn.NUMBERVALUE(MID(INDEX(TabDH12[[#Headers],[:1]:[:19]],COLUMN()-COLUMN(TabDH12[[#Headers],[:1]])+1),2,3))</f>
        <v>0</v>
      </c>
      <c r="CX17" s="39">
        <f>Grunddaten7[[#This Row],[Sitze im Hauptorgan]]/_xlfn.NUMBERVALUE(MID(INDEX(TabDH12[[#Headers],[:1]:[:19]],COLUMN()-COLUMN(TabDH12[[#Headers],[:1]])+1),2,3))</f>
        <v>0</v>
      </c>
      <c r="CY17" s="39">
        <f>Grunddaten7[[#This Row],[Sitze im Hauptorgan]]/_xlfn.NUMBERVALUE(MID(INDEX(TabDH12[[#Headers],[:1]:[:19]],COLUMN()-COLUMN(TabDH12[[#Headers],[:1]])+1),2,3))</f>
        <v>0</v>
      </c>
      <c r="CZ17" s="39">
        <f>Grunddaten7[[#This Row],[Sitze im Hauptorgan]]/_xlfn.NUMBERVALUE(MID(INDEX(TabDH12[[#Headers],[:1]:[:19]],COLUMN()-COLUMN(TabDH12[[#Headers],[:1]])+1),2,3))</f>
        <v>0</v>
      </c>
      <c r="DA17" s="39">
        <f>Grunddaten7[[#This Row],[Sitze im Hauptorgan]]/_xlfn.NUMBERVALUE(MID(INDEX(TabDH12[[#Headers],[:1]:[:19]],COLUMN()-COLUMN(TabDH12[[#Headers],[:1]])+1),2,3))</f>
        <v>0</v>
      </c>
      <c r="DB17" s="39">
        <f>Grunddaten7[[#This Row],[Sitze im Hauptorgan]]/_xlfn.NUMBERVALUE(MID(INDEX(TabDH12[[#Headers],[:1]:[:19]],COLUMN()-COLUMN(TabDH12[[#Headers],[:1]])+1),2,3))</f>
        <v>0</v>
      </c>
      <c r="DC17" s="39">
        <f>Grunddaten7[[#This Row],[Sitze im Hauptorgan]]/_xlfn.NUMBERVALUE(MID(INDEX(TabDH12[[#Headers],[:1]:[:19]],COLUMN()-COLUMN(TabDH12[[#Headers],[:1]])+1),2,3))</f>
        <v>0</v>
      </c>
      <c r="DD17" s="39">
        <f>Grunddaten7[[#This Row],[Sitze im Hauptorgan]]/_xlfn.NUMBERVALUE(MID(INDEX(TabDH12[[#Headers],[:1]:[:19]],COLUMN()-COLUMN(TabDH12[[#Headers],[:1]])+1),2,3))</f>
        <v>0</v>
      </c>
      <c r="DE17" s="40">
        <f>Grunddaten7[[#This Row],[Sitze im Hauptorgan]]/_xlfn.NUMBERVALUE(MID(INDEX(TabDH12[[#Headers],[:1]:[:19]],COLUMN()-COLUMN(TabDH12[[#Headers],[:1]])+1),2,3))</f>
        <v>0</v>
      </c>
      <c r="DF17" s="41">
        <f>_xlfn.RANK.EQ(TabDH12[[#This Row],[:1]],TabDH12[[:1]:[:19]],0)</f>
        <v>134</v>
      </c>
      <c r="DG17" s="42">
        <f>_xlfn.RANK.EQ(TabDH12[[#This Row],[:2]],TabDH12[[:1]:[:19]],0)</f>
        <v>134</v>
      </c>
      <c r="DH17" s="42">
        <f>_xlfn.RANK.EQ(TabDH12[[#This Row],[:3]],TabDH12[[:1]:[:19]],0)</f>
        <v>134</v>
      </c>
      <c r="DI17" s="42">
        <f>_xlfn.RANK.EQ(TabDH12[[#This Row],[:4]],TabDH12[[:1]:[:19]],0)</f>
        <v>134</v>
      </c>
      <c r="DJ17" s="42">
        <f>_xlfn.RANK.EQ(TabDH12[[#This Row],[:5]],TabDH12[[:1]:[:19]],0)</f>
        <v>134</v>
      </c>
      <c r="DK17" s="42">
        <f>_xlfn.RANK.EQ(TabDH12[[#This Row],[:6]],TabDH12[[:1]:[:19]],0)</f>
        <v>134</v>
      </c>
      <c r="DL17" s="42">
        <f>_xlfn.RANK.EQ(TabDH12[[#This Row],[:7]],TabDH12[[:1]:[:19]],0)</f>
        <v>134</v>
      </c>
      <c r="DM17" s="42">
        <f>_xlfn.RANK.EQ(TabDH12[[#This Row],[:8]],TabDH12[[:1]:[:19]],0)</f>
        <v>134</v>
      </c>
      <c r="DN17" s="42">
        <f>_xlfn.RANK.EQ(TabDH12[[#This Row],[:9]],TabDH12[[:1]:[:19]],0)</f>
        <v>134</v>
      </c>
      <c r="DO17" s="42">
        <f>_xlfn.RANK.EQ(TabDH12[[#This Row],[:10]],TabDH12[[:1]:[:19]],0)</f>
        <v>134</v>
      </c>
      <c r="DP17" s="42">
        <f>_xlfn.RANK.EQ(TabDH12[[#This Row],[:11]],TabDH12[[:1]:[:19]],0)</f>
        <v>134</v>
      </c>
      <c r="DQ17" s="42">
        <f>_xlfn.RANK.EQ(TabDH12[[#This Row],[:12]],TabDH12[[:1]:[:19]],0)</f>
        <v>134</v>
      </c>
      <c r="DR17" s="42">
        <f>_xlfn.RANK.EQ(TabDH12[[#This Row],[:13]],TabDH12[[:1]:[:19]],0)</f>
        <v>134</v>
      </c>
      <c r="DS17" s="42">
        <f>_xlfn.RANK.EQ(TabDH12[[#This Row],[:14]],TabDH12[[:1]:[:19]],0)</f>
        <v>134</v>
      </c>
      <c r="DT17" s="42">
        <f>_xlfn.RANK.EQ(TabDH12[[#This Row],[:15]],TabDH12[[:1]:[:19]],0)</f>
        <v>134</v>
      </c>
      <c r="DU17" s="42">
        <f>_xlfn.RANK.EQ(TabDH12[[#This Row],[:16]],TabDH12[[:1]:[:19]],0)</f>
        <v>134</v>
      </c>
      <c r="DV17" s="42">
        <f>_xlfn.RANK.EQ(TabDH12[[#This Row],[:17]],TabDH12[[:1]:[:19]],0)</f>
        <v>134</v>
      </c>
      <c r="DW17" s="42">
        <f>_xlfn.RANK.EQ(TabDH12[[#This Row],[:18]],TabDH12[[:1]:[:19]],0)</f>
        <v>134</v>
      </c>
      <c r="DX17" s="43">
        <f>_xlfn.RANK.EQ(TabDH12[[#This Row],[:19]],TabDH12[[:1]:[:19]],0)</f>
        <v>134</v>
      </c>
      <c r="DY17" s="44" t="str">
        <f>IF(TabDH12[[#This Row],[R1]]&lt;=Sitze_Ausschuss,IF(TabDH12[[#This Row],[R1]]+COUNTIF(TabDH12[[R1]:[R19]],TabDH12[[#This Row],[R1]])-1&lt;=Sitze_Ausschuss,"SITZ","PATT"),"")</f>
        <v/>
      </c>
      <c r="DZ17" s="45" t="str">
        <f>IF(TabDH12[[#This Row],[R2]]&lt;=Sitze_Ausschuss,IF(TabDH12[[#This Row],[R2]]+COUNTIF(TabDH12[[R1]:[R19]],TabDH12[[#This Row],[R2]])-1&lt;=Sitze_Ausschuss,"SITZ","PATT"),"")</f>
        <v/>
      </c>
      <c r="EA17" s="45" t="str">
        <f>IF(TabDH12[[#This Row],[R3]]&lt;=Sitze_Ausschuss,IF(TabDH12[[#This Row],[R3]]+COUNTIF(TabDH12[[R1]:[R19]],TabDH12[[#This Row],[R3]])-1&lt;=Sitze_Ausschuss,"SITZ","PATT"),"")</f>
        <v/>
      </c>
      <c r="EB17" s="45" t="str">
        <f>IF(TabDH12[[#This Row],[R4]]&lt;=Sitze_Ausschuss,IF(TabDH12[[#This Row],[R4]]+COUNTIF(TabDH12[[R1]:[R19]],TabDH12[[#This Row],[R4]])-1&lt;=Sitze_Ausschuss,"SITZ","PATT"),"")</f>
        <v/>
      </c>
      <c r="EC17" s="45" t="str">
        <f>IF(TabDH12[[#This Row],[R5]]&lt;=Sitze_Ausschuss,IF(TabDH12[[#This Row],[R5]]+COUNTIF(TabDH12[[R1]:[R19]],TabDH12[[#This Row],[R5]])-1&lt;=Sitze_Ausschuss,"SITZ","PATT"),"")</f>
        <v/>
      </c>
      <c r="ED17" s="45" t="str">
        <f>IF(TabDH12[[#This Row],[R6]]&lt;=Sitze_Ausschuss,IF(TabDH12[[#This Row],[R6]]+COUNTIF(TabDH12[[R1]:[R19]],TabDH12[[#This Row],[R6]])-1&lt;=Sitze_Ausschuss,"SITZ","PATT"),"")</f>
        <v/>
      </c>
      <c r="EE17" s="45" t="str">
        <f>IF(TabDH12[[#This Row],[R7]]&lt;=Sitze_Ausschuss,IF(TabDH12[[#This Row],[R7]]+COUNTIF(TabDH12[[R1]:[R19]],TabDH12[[#This Row],[R7]])-1&lt;=Sitze_Ausschuss,"SITZ","PATT"),"")</f>
        <v/>
      </c>
      <c r="EF17" s="45" t="str">
        <f>IF(TabDH12[[#This Row],[R8]]&lt;=Sitze_Ausschuss,IF(TabDH12[[#This Row],[R8]]+COUNTIF(TabDH12[[R1]:[R19]],TabDH12[[#This Row],[R8]])-1&lt;=Sitze_Ausschuss,"SITZ","PATT"),"")</f>
        <v/>
      </c>
      <c r="EG17" s="45" t="str">
        <f>IF(TabDH12[[#This Row],[R9]]&lt;=Sitze_Ausschuss,IF(TabDH12[[#This Row],[R9]]+COUNTIF(TabDH12[[R1]:[R19]],TabDH12[[#This Row],[R9]])-1&lt;=Sitze_Ausschuss,"SITZ","PATT"),"")</f>
        <v/>
      </c>
      <c r="EH17" s="45" t="str">
        <f>IF(TabDH12[[#This Row],[R10]]&lt;=Sitze_Ausschuss,IF(TabDH12[[#This Row],[R10]]+COUNTIF(TabDH12[[R1]:[R19]],TabDH12[[#This Row],[R10]])-1&lt;=Sitze_Ausschuss,"SITZ","PATT"),"")</f>
        <v/>
      </c>
      <c r="EI17" s="45" t="str">
        <f>IF(TabDH12[[#This Row],[R11]]&lt;=Sitze_Ausschuss,IF(TabDH12[[#This Row],[R11]]+COUNTIF(TabDH12[[R1]:[R19]],TabDH12[[#This Row],[R11]])-1&lt;=Sitze_Ausschuss,"SITZ","PATT"),"")</f>
        <v/>
      </c>
      <c r="EJ17" s="45" t="str">
        <f>IF(TabDH12[[#This Row],[R12]]&lt;=Sitze_Ausschuss,IF(TabDH12[[#This Row],[R12]]+COUNTIF(TabDH12[[R1]:[R19]],TabDH12[[#This Row],[R12]])-1&lt;=Sitze_Ausschuss,"SITZ","PATT"),"")</f>
        <v/>
      </c>
      <c r="EK17" s="45" t="str">
        <f>IF(TabDH12[[#This Row],[R13]]&lt;=Sitze_Ausschuss,IF(TabDH12[[#This Row],[R13]]+COUNTIF(TabDH12[[R1]:[R19]],TabDH12[[#This Row],[R13]])-1&lt;=Sitze_Ausschuss,"SITZ","PATT"),"")</f>
        <v/>
      </c>
      <c r="EL17" s="45" t="str">
        <f>IF(TabDH12[[#This Row],[R14]]&lt;=Sitze_Ausschuss,IF(TabDH12[[#This Row],[R14]]+COUNTIF(TabDH12[[R1]:[R19]],TabDH12[[#This Row],[R14]])-1&lt;=Sitze_Ausschuss,"SITZ","PATT"),"")</f>
        <v/>
      </c>
      <c r="EM17" s="45" t="str">
        <f>IF(TabDH12[[#This Row],[R15]]&lt;=Sitze_Ausschuss,IF(TabDH12[[#This Row],[R15]]+COUNTIF(TabDH12[[R1]:[R19]],TabDH12[[#This Row],[R15]])-1&lt;=Sitze_Ausschuss,"SITZ","PATT"),"")</f>
        <v/>
      </c>
      <c r="EN17" s="45" t="str">
        <f>IF(TabDH12[[#This Row],[R16]]&lt;=Sitze_Ausschuss,IF(TabDH12[[#This Row],[R16]]+COUNTIF(TabDH12[[R1]:[R19]],TabDH12[[#This Row],[R16]])-1&lt;=Sitze_Ausschuss,"SITZ","PATT"),"")</f>
        <v/>
      </c>
      <c r="EO17" s="45" t="str">
        <f>IF(TabDH12[[#This Row],[R17]]&lt;=Sitze_Ausschuss,IF(TabDH12[[#This Row],[R17]]+COUNTIF(TabDH12[[R1]:[R19]],TabDH12[[#This Row],[R17]])-1&lt;=Sitze_Ausschuss,"SITZ","PATT"),"")</f>
        <v/>
      </c>
      <c r="EP17" s="45" t="str">
        <f>IF(TabDH12[[#This Row],[R18]]&lt;=Sitze_Ausschuss,IF(TabDH12[[#This Row],[R18]]+COUNTIF(TabDH12[[R1]:[R19]],TabDH12[[#This Row],[R18]])-1&lt;=Sitze_Ausschuss,"SITZ","PATT"),"")</f>
        <v/>
      </c>
      <c r="EQ17" s="45" t="str">
        <f>IF(TabDH12[[#This Row],[R19]]&lt;=Sitze_Ausschuss,IF(TabDH12[[#This Row],[R19]]+COUNTIF(TabDH12[[R1]:[R19]],TabDH12[[#This Row],[R19]])-1&lt;=Sitze_Ausschuss,"SITZ","PATT"),"")</f>
        <v/>
      </c>
      <c r="ER17" s="47" t="b">
        <f>COUNTIF(TabDH12[[#This Row],[SP1]:[SP19]],"PATT")&gt;0</f>
        <v>0</v>
      </c>
      <c r="ES17" s="33">
        <f>IF(TabDH12[[#This Row],[Patt]],(Sitze_Ausschuss-SUM(TabDH12[Sitze]))/TabDH12[[#Totals],[Patt]],0)</f>
        <v>0</v>
      </c>
      <c r="ET17" s="48">
        <f>TabDH12[[#This Row],[Patt]]*IF(Pattaufloesung="Stimmen",TabPatt11[[#This Row],[Stimmen]],0)*1</f>
        <v>0</v>
      </c>
      <c r="EU17" s="49" t="b">
        <f>_xlfn.RANK.EQ(TabDH12[[#This Row],[Stimmen/Gelost]],TabDH12[Stimmen/Gelost],0)&lt;=(Sitze_Ausschuss-SUM(TabDH12[Sitze]))</f>
        <v>1</v>
      </c>
      <c r="EV17" s="50" t="b">
        <f>OR(TabDH12[[#This Row],[Sitze]]&lt;ROUNDDOWN(Grunddaten7[[#This Row],[Proporzgenaue Zahl Ausschuss]],0),TabDH12[[#This Row],[Sitze]]+(TabDH12[[#This Row],[Patt]]*1)&gt;ROUNDUP(Grunddaten7[[#This Row],[Proporzgenaue Zahl Ausschuss]],0))</f>
        <v>0</v>
      </c>
      <c r="EW17" s="3"/>
      <c r="EX17" s="51" t="str">
        <f>Grunddaten7[[#This Row],[Partei/Wählergruppe]]&amp;""</f>
        <v/>
      </c>
      <c r="EY17" s="51">
        <f t="shared" si="6"/>
        <v>0</v>
      </c>
      <c r="EZ17" s="3"/>
      <c r="FA17" s="3"/>
      <c r="FB17" s="3"/>
      <c r="FC17" s="3"/>
      <c r="FD17" s="3"/>
    </row>
    <row r="18" spans="1:160" ht="15.75" thickBot="1" x14ac:dyDescent="0.3">
      <c r="A18" s="3"/>
      <c r="B18" s="89" t="str">
        <f t="shared" si="0"/>
        <v/>
      </c>
      <c r="C18" s="91">
        <f t="shared" si="1"/>
        <v>0</v>
      </c>
      <c r="D18" s="168">
        <f>Grunddaten7[[#This Row],[Sitze im Hauptorgan]]/Grunddaten7[[#Totals],[Sitze im Hauptorgan]]*Sitze_Ausschuss</f>
        <v>0</v>
      </c>
      <c r="E18" s="159">
        <f>IF(ROUNDDOWN(Grunddaten7[[#This Row],[Proporzgenaue Zahl Ausschuss]],0)&lt;&gt;ROUNDUP(Grunddaten7[[#This Row],[Proporzgenaue Zahl Ausschuss]],0), ROUNDDOWN(Grunddaten7[[#This Row],[Proporzgenaue Zahl Ausschuss]],0)&amp;" oder "&amp;ROUNDUP(Grunddaten7[[#This Row],[Proporzgenaue Zahl Ausschuss]],0),ROUND(Grunddaten7[[#This Row],[Proporzgenaue Zahl Ausschuss]],0))</f>
        <v>0</v>
      </c>
      <c r="F18" s="52" t="str">
        <f>"OK"</f>
        <v>OK</v>
      </c>
      <c r="G18" s="52" t="str">
        <f>IF(TabSLS10[[#This Row],[QK verletzt]],"NOK","OK")</f>
        <v>OK</v>
      </c>
      <c r="H18" s="53" t="str">
        <f>IF(TabDH12[[#This Row],[QK verletzt]],"NOK","OK")</f>
        <v>OK</v>
      </c>
      <c r="I18" s="163">
        <f t="shared" si="3"/>
        <v>0</v>
      </c>
      <c r="J18" s="163">
        <f t="shared" si="4"/>
        <v>0</v>
      </c>
      <c r="K18" s="163">
        <f t="shared" si="5"/>
        <v>0</v>
      </c>
      <c r="L18" s="3"/>
      <c r="M18" s="92">
        <f>TabHN9[[#This Row],[S ganz]]+IF(NOT(TabHN9[[#This Row],[Patt]]),TabHN9[[#This Row],[Restsitz]],0)</f>
        <v>0</v>
      </c>
      <c r="N18" s="162">
        <f>IF(TabHN9[[#This Row],[Patt]],IF(Pattaufloesung="Los-Chance",TabHN9[[#This Row],[Los Chance]],TabHN9[[#This Row],[Pattgewinn]]+0),0)</f>
        <v>0</v>
      </c>
      <c r="O18" s="79">
        <f>INT(Grunddaten7[[#This Row],[Proporzgenaue Zahl Ausschuss]])</f>
        <v>0</v>
      </c>
      <c r="P18" s="80">
        <f>ROUND(Grunddaten7[[#This Row],[Proporzgenaue Zahl Ausschuss]]-TabHN9[[#This Row],[S ganz]],4)</f>
        <v>0</v>
      </c>
      <c r="Q18" s="81">
        <f>_xlfn.RANK.EQ(TabHN9[[#This Row],[S Rest]],TabHN9[S Rest],0)</f>
        <v>5</v>
      </c>
      <c r="R18" s="82">
        <f>IF(TabHN9[[#This Row],[Rng Rest]]&lt;=TabHN9[[#Totals],[S Rest]],1,0)</f>
        <v>0</v>
      </c>
      <c r="S18" s="82" t="b">
        <f>AND(TabHN9[[#This Row],[Restsitz]]=1,(COUNTIF(TabHN9[Rng Rest],TabHN9[[#This Row],[Rng Rest]])+TabHN9[[#This Row],[Rng Rest]]-1)&gt;TabHN9[[#Totals],[S Rest]])</f>
        <v>0</v>
      </c>
      <c r="T18" s="83">
        <f>IF(TabHN9[[#This Row],[Patt]],(Sitze_Ausschuss-SUM(TabHN9[Sitze]))/TabHN9[[#Totals],[Patt]],0)</f>
        <v>0</v>
      </c>
      <c r="U18" s="84">
        <f>TabHN9[[#This Row],[Patt]]*IF(Pattaufloesung="Stimmen",TabPatt11[[#This Row],[Stimmen]],0)*1</f>
        <v>0</v>
      </c>
      <c r="V18" s="53" t="b">
        <f>_xlfn.RANK.EQ(TabHN9[[#This Row],[Stimmen/Gelost]],TabHN9[Stimmen/Gelost],0)&lt;=(Sitze_Ausschuss-SUM(TabHN9[Sitze]))</f>
        <v>0</v>
      </c>
      <c r="W18" s="3"/>
      <c r="X18" s="36">
        <f>COUNTIF(TabSLS10[[#This Row],[SP1]:[SP37]],"SITZ")</f>
        <v>0</v>
      </c>
      <c r="Y18" s="37">
        <f>IF(TabSLS10[[#This Row],[Patt?]],IF(Pattaufloesung="Los-Chance",TabSLS10[[#This Row],[Los Chance]],TabSLS10[[#This Row],[Pattgewinn]]+0),0)</f>
        <v>0</v>
      </c>
      <c r="Z18" s="38">
        <f>Grunddaten7[[#This Row],[Sitze im Hauptorgan]]/_xlfn.NUMBERVALUE(MID(INDEX(TabSLS10[[#Headers],[:1]:[:37]],COLUMN()-COLUMN(TabSLS10[[#Headers],[:1]])+1),2,3))</f>
        <v>0</v>
      </c>
      <c r="AA18" s="39">
        <f>Grunddaten7[[#This Row],[Sitze im Hauptorgan]]/_xlfn.NUMBERVALUE(MID(INDEX(TabSLS10[[#Headers],[:1]:[:37]],COLUMN()-COLUMN(TabSLS10[[#Headers],[:1]])+1),2,3))</f>
        <v>0</v>
      </c>
      <c r="AB18" s="39">
        <f>Grunddaten7[[#This Row],[Sitze im Hauptorgan]]/_xlfn.NUMBERVALUE(MID(INDEX(TabSLS10[[#Headers],[:1]:[:37]],COLUMN()-COLUMN(TabSLS10[[#Headers],[:1]])+1),2,3))</f>
        <v>0</v>
      </c>
      <c r="AC18" s="39">
        <f>Grunddaten7[[#This Row],[Sitze im Hauptorgan]]/_xlfn.NUMBERVALUE(MID(INDEX(TabSLS10[[#Headers],[:1]:[:37]],COLUMN()-COLUMN(TabSLS10[[#Headers],[:1]])+1),2,3))</f>
        <v>0</v>
      </c>
      <c r="AD18" s="39">
        <f>Grunddaten7[[#This Row],[Sitze im Hauptorgan]]/_xlfn.NUMBERVALUE(MID(INDEX(TabSLS10[[#Headers],[:1]:[:37]],COLUMN()-COLUMN(TabSLS10[[#Headers],[:1]])+1),2,3))</f>
        <v>0</v>
      </c>
      <c r="AE18" s="39">
        <f>Grunddaten7[[#This Row],[Sitze im Hauptorgan]]/_xlfn.NUMBERVALUE(MID(INDEX(TabSLS10[[#Headers],[:1]:[:37]],COLUMN()-COLUMN(TabSLS10[[#Headers],[:1]])+1),2,3))</f>
        <v>0</v>
      </c>
      <c r="AF18" s="39">
        <f>Grunddaten7[[#This Row],[Sitze im Hauptorgan]]/_xlfn.NUMBERVALUE(MID(INDEX(TabSLS10[[#Headers],[:1]:[:37]],COLUMN()-COLUMN(TabSLS10[[#Headers],[:1]])+1),2,3))</f>
        <v>0</v>
      </c>
      <c r="AG18" s="39">
        <f>Grunddaten7[[#This Row],[Sitze im Hauptorgan]]/_xlfn.NUMBERVALUE(MID(INDEX(TabSLS10[[#Headers],[:1]:[:37]],COLUMN()-COLUMN(TabSLS10[[#Headers],[:1]])+1),2,3))</f>
        <v>0</v>
      </c>
      <c r="AH18" s="39">
        <f>Grunddaten7[[#This Row],[Sitze im Hauptorgan]]/_xlfn.NUMBERVALUE(MID(INDEX(TabSLS10[[#Headers],[:1]:[:37]],COLUMN()-COLUMN(TabSLS10[[#Headers],[:1]])+1),2,3))</f>
        <v>0</v>
      </c>
      <c r="AI18" s="39">
        <f>Grunddaten7[[#This Row],[Sitze im Hauptorgan]]/_xlfn.NUMBERVALUE(MID(INDEX(TabSLS10[[#Headers],[:1]:[:37]],COLUMN()-COLUMN(TabSLS10[[#Headers],[:1]])+1),2,3))</f>
        <v>0</v>
      </c>
      <c r="AJ18" s="39">
        <f>Grunddaten7[[#This Row],[Sitze im Hauptorgan]]/_xlfn.NUMBERVALUE(MID(INDEX(TabSLS10[[#Headers],[:1]:[:37]],COLUMN()-COLUMN(TabSLS10[[#Headers],[:1]])+1),2,3))</f>
        <v>0</v>
      </c>
      <c r="AK18" s="39">
        <f>Grunddaten7[[#This Row],[Sitze im Hauptorgan]]/_xlfn.NUMBERVALUE(MID(INDEX(TabSLS10[[#Headers],[:1]:[:37]],COLUMN()-COLUMN(TabSLS10[[#Headers],[:1]])+1),2,3))</f>
        <v>0</v>
      </c>
      <c r="AL18" s="39">
        <f>Grunddaten7[[#This Row],[Sitze im Hauptorgan]]/_xlfn.NUMBERVALUE(MID(INDEX(TabSLS10[[#Headers],[:1]:[:37]],COLUMN()-COLUMN(TabSLS10[[#Headers],[:1]])+1),2,3))</f>
        <v>0</v>
      </c>
      <c r="AM18" s="39">
        <f>Grunddaten7[[#This Row],[Sitze im Hauptorgan]]/_xlfn.NUMBERVALUE(MID(INDEX(TabSLS10[[#Headers],[:1]:[:37]],COLUMN()-COLUMN(TabSLS10[[#Headers],[:1]])+1),2,3))</f>
        <v>0</v>
      </c>
      <c r="AN18" s="39">
        <f>Grunddaten7[[#This Row],[Sitze im Hauptorgan]]/_xlfn.NUMBERVALUE(MID(INDEX(TabSLS10[[#Headers],[:1]:[:37]],COLUMN()-COLUMN(TabSLS10[[#Headers],[:1]])+1),2,3))</f>
        <v>0</v>
      </c>
      <c r="AO18" s="39">
        <f>Grunddaten7[[#This Row],[Sitze im Hauptorgan]]/_xlfn.NUMBERVALUE(MID(INDEX(TabSLS10[[#Headers],[:1]:[:37]],COLUMN()-COLUMN(TabSLS10[[#Headers],[:1]])+1),2,3))</f>
        <v>0</v>
      </c>
      <c r="AP18" s="39">
        <f>Grunddaten7[[#This Row],[Sitze im Hauptorgan]]/_xlfn.NUMBERVALUE(MID(INDEX(TabSLS10[[#Headers],[:1]:[:37]],COLUMN()-COLUMN(TabSLS10[[#Headers],[:1]])+1),2,3))</f>
        <v>0</v>
      </c>
      <c r="AQ18" s="39">
        <f>Grunddaten7[[#This Row],[Sitze im Hauptorgan]]/_xlfn.NUMBERVALUE(MID(INDEX(TabSLS10[[#Headers],[:1]:[:37]],COLUMN()-COLUMN(TabSLS10[[#Headers],[:1]])+1),2,3))</f>
        <v>0</v>
      </c>
      <c r="AR18" s="40">
        <f>Grunddaten7[[#This Row],[Sitze im Hauptorgan]]/_xlfn.NUMBERVALUE(MID(INDEX(TabSLS10[[#Headers],[:1]:[:37]],COLUMN()-COLUMN(TabSLS10[[#Headers],[:1]])+1),2,3))</f>
        <v>0</v>
      </c>
      <c r="AS18" s="41">
        <f>_xlfn.RANK.EQ(TabSLS10[[#This Row],[:1]],TabSLS10[[:1]:[:37]],0)</f>
        <v>134</v>
      </c>
      <c r="AT18" s="42">
        <f>_xlfn.RANK.EQ(TabSLS10[[#This Row],[:3]],TabSLS10[[:1]:[:37]],0)</f>
        <v>134</v>
      </c>
      <c r="AU18" s="42">
        <f>_xlfn.RANK.EQ(TabSLS10[[#This Row],[:5]],TabSLS10[[:1]:[:37]],0)</f>
        <v>134</v>
      </c>
      <c r="AV18" s="42">
        <f>_xlfn.RANK.EQ(TabSLS10[[#This Row],[:7]],TabSLS10[[:1]:[:37]],0)</f>
        <v>134</v>
      </c>
      <c r="AW18" s="42">
        <f>_xlfn.RANK.EQ(TabSLS10[[#This Row],[:9]],TabSLS10[[:1]:[:37]],0)</f>
        <v>134</v>
      </c>
      <c r="AX18" s="42">
        <f>_xlfn.RANK.EQ(TabSLS10[[#This Row],[:11]],TabSLS10[[:1]:[:37]],0)</f>
        <v>134</v>
      </c>
      <c r="AY18" s="42">
        <f>_xlfn.RANK.EQ(TabSLS10[[#This Row],[:13]],TabSLS10[[:1]:[:37]],0)</f>
        <v>134</v>
      </c>
      <c r="AZ18" s="42">
        <f>_xlfn.RANK.EQ(TabSLS10[[#This Row],[:15]],TabSLS10[[:1]:[:37]],0)</f>
        <v>134</v>
      </c>
      <c r="BA18" s="42">
        <f>_xlfn.RANK.EQ(TabSLS10[[#This Row],[:17]],TabSLS10[[:1]:[:37]],0)</f>
        <v>134</v>
      </c>
      <c r="BB18" s="42">
        <f>_xlfn.RANK.EQ(TabSLS10[[#This Row],[:19]],TabSLS10[[:1]:[:37]],0)</f>
        <v>134</v>
      </c>
      <c r="BC18" s="42">
        <f>_xlfn.RANK.EQ(TabSLS10[[#This Row],[:21]],TabSLS10[[:1]:[:37]],0)</f>
        <v>134</v>
      </c>
      <c r="BD18" s="42">
        <f>_xlfn.RANK.EQ(TabSLS10[[#This Row],[:23]],TabSLS10[[:1]:[:37]],0)</f>
        <v>134</v>
      </c>
      <c r="BE18" s="42">
        <f>_xlfn.RANK.EQ(TabSLS10[[#This Row],[:25]],TabSLS10[[:1]:[:37]],0)</f>
        <v>134</v>
      </c>
      <c r="BF18" s="42">
        <f>_xlfn.RANK.EQ(TabSLS10[[#This Row],[:27]],TabSLS10[[:1]:[:37]],0)</f>
        <v>134</v>
      </c>
      <c r="BG18" s="42">
        <f>_xlfn.RANK.EQ(TabSLS10[[#This Row],[:29]],TabSLS10[[:1]:[:37]],0)</f>
        <v>134</v>
      </c>
      <c r="BH18" s="42">
        <f>_xlfn.RANK.EQ(TabSLS10[[#This Row],[:31]],TabSLS10[[:1]:[:37]],0)</f>
        <v>134</v>
      </c>
      <c r="BI18" s="42">
        <f>_xlfn.RANK.EQ(TabSLS10[[#This Row],[:33]],TabSLS10[[:1]:[:37]],0)</f>
        <v>134</v>
      </c>
      <c r="BJ18" s="42">
        <f>_xlfn.RANK.EQ(TabSLS10[[#This Row],[:35]],TabSLS10[[:1]:[:37]],0)</f>
        <v>134</v>
      </c>
      <c r="BK18" s="43">
        <f>_xlfn.RANK.EQ(TabSLS10[[#This Row],[:37]],TabSLS10[[:1]:[:37]],0)</f>
        <v>134</v>
      </c>
      <c r="BL18" s="44" t="str">
        <f>IF(TabSLS10[[#This Row],[R1]]&lt;=Sitze_Ausschuss,IF(TabSLS10[[#This Row],[R1]]+COUNTIF(TabSLS10[[R1]:[R37]],TabSLS10[[#This Row],[R1]])-1&lt;=Sitze_Ausschuss,"SITZ","PATT"),"")</f>
        <v/>
      </c>
      <c r="BM18" s="45" t="str">
        <f>IF(TabSLS10[[#This Row],[R3]]&lt;=Sitze_Ausschuss,IF(TabSLS10[[#This Row],[R3]]+COUNTIF(TabSLS10[[R1]:[R37]],TabSLS10[[#This Row],[R3]])-1&lt;=Sitze_Ausschuss,"SITZ","PATT"),"")</f>
        <v/>
      </c>
      <c r="BN18" s="45" t="str">
        <f>IF(TabSLS10[[#This Row],[R5]]&lt;=Sitze_Ausschuss,IF(TabSLS10[[#This Row],[R5]]+COUNTIF(TabSLS10[[R1]:[R37]],TabSLS10[[#This Row],[R5]])-1&lt;=Sitze_Ausschuss,"SITZ","PATT"),"")</f>
        <v/>
      </c>
      <c r="BO18" s="45" t="str">
        <f>IF(TabSLS10[[#This Row],[R7]]&lt;=Sitze_Ausschuss,IF(TabSLS10[[#This Row],[R7]]+COUNTIF(TabSLS10[[R1]:[R37]],TabSLS10[[#This Row],[R7]])-1&lt;=Sitze_Ausschuss,"SITZ","PATT"),"")</f>
        <v/>
      </c>
      <c r="BP18" s="45" t="str">
        <f>IF(TabSLS10[[#This Row],[R9]]&lt;=Sitze_Ausschuss,IF(TabSLS10[[#This Row],[R9]]+COUNTIF(TabSLS10[[R1]:[R37]],TabSLS10[[#This Row],[R9]])-1&lt;=Sitze_Ausschuss,"SITZ","PATT"),"")</f>
        <v/>
      </c>
      <c r="BQ18" s="45" t="str">
        <f>IF(TabSLS10[[#This Row],[R11]]&lt;=Sitze_Ausschuss,IF(TabSLS10[[#This Row],[R11]]+COUNTIF(TabSLS10[[R1]:[R37]],TabSLS10[[#This Row],[R11]])-1&lt;=Sitze_Ausschuss,"SITZ","PATT"),"")</f>
        <v/>
      </c>
      <c r="BR18" s="45" t="str">
        <f>IF(TabSLS10[[#This Row],[R13]]&lt;=Sitze_Ausschuss,IF(TabSLS10[[#This Row],[R13]]+COUNTIF(TabSLS10[[R1]:[R37]],TabSLS10[[#This Row],[R13]])-1&lt;=Sitze_Ausschuss,"SITZ","PATT"),"")</f>
        <v/>
      </c>
      <c r="BS18" s="45" t="str">
        <f>IF(TabSLS10[[#This Row],[R15]]&lt;=Sitze_Ausschuss,IF(TabSLS10[[#This Row],[R15]]+COUNTIF(TabSLS10[[R1]:[R37]],TabSLS10[[#This Row],[R15]])-1&lt;=Sitze_Ausschuss,"SITZ","PATT"),"")</f>
        <v/>
      </c>
      <c r="BT18" s="45" t="str">
        <f>IF(TabSLS10[[#This Row],[R17]]&lt;=Sitze_Ausschuss,IF(TabSLS10[[#This Row],[R17]]+COUNTIF(TabSLS10[[R1]:[R37]],TabSLS10[[#This Row],[R17]])-1&lt;=Sitze_Ausschuss,"SITZ","PATT"),"")</f>
        <v/>
      </c>
      <c r="BU18" s="45" t="str">
        <f>IF(TabSLS10[[#This Row],[R19]]&lt;=Sitze_Ausschuss,IF(TabSLS10[[#This Row],[R19]]+COUNTIF(TabSLS10[[R1]:[R37]],TabSLS10[[#This Row],[R19]])-1&lt;=Sitze_Ausschuss,"SITZ","PATT"),"")</f>
        <v/>
      </c>
      <c r="BV18" s="45" t="str">
        <f>IF(TabSLS10[[#This Row],[R21]]&lt;=Sitze_Ausschuss,IF(TabSLS10[[#This Row],[R21]]+COUNTIF(TabSLS10[[R1]:[R37]],TabSLS10[[#This Row],[R21]])-1&lt;=Sitze_Ausschuss,"SITZ","PATT"),"")</f>
        <v/>
      </c>
      <c r="BW18" s="45" t="str">
        <f>IF(TabSLS10[[#This Row],[R23]]&lt;=Sitze_Ausschuss,IF(TabSLS10[[#This Row],[R23]]+COUNTIF(TabSLS10[[R1]:[R37]],TabSLS10[[#This Row],[R23]])-1&lt;=Sitze_Ausschuss,"SITZ","PATT"),"")</f>
        <v/>
      </c>
      <c r="BX18" s="45" t="str">
        <f>IF(TabSLS10[[#This Row],[R25]]&lt;=Sitze_Ausschuss,IF(TabSLS10[[#This Row],[R25]]+COUNTIF(TabSLS10[[R1]:[R37]],TabSLS10[[#This Row],[R25]])-1&lt;=Sitze_Ausschuss,"SITZ","PATT"),"")</f>
        <v/>
      </c>
      <c r="BY18" s="45" t="str">
        <f>IF(TabSLS10[[#This Row],[R27]]&lt;=Sitze_Ausschuss,IF(TabSLS10[[#This Row],[R27]]+COUNTIF(TabSLS10[[R1]:[R37]],TabSLS10[[#This Row],[R27]])-1&lt;=Sitze_Ausschuss,"SITZ","PATT"),"")</f>
        <v/>
      </c>
      <c r="BZ18" s="45" t="str">
        <f>IF(TabSLS10[[#This Row],[R29]]&lt;=Sitze_Ausschuss,IF(TabSLS10[[#This Row],[R29]]+COUNTIF(TabSLS10[[R1]:[R37]],TabSLS10[[#This Row],[R29]])-1&lt;=Sitze_Ausschuss,"SITZ","PATT"),"")</f>
        <v/>
      </c>
      <c r="CA18" s="45" t="str">
        <f>IF(TabSLS10[[#This Row],[R31]]&lt;=Sitze_Ausschuss,IF(TabSLS10[[#This Row],[R31]]+COUNTIF(TabSLS10[[R1]:[R37]],TabSLS10[[#This Row],[R31]])-1&lt;=Sitze_Ausschuss,"SITZ","PATT"),"")</f>
        <v/>
      </c>
      <c r="CB18" s="45" t="str">
        <f>IF(TabSLS10[[#This Row],[R33]]&lt;=Sitze_Ausschuss,IF(TabSLS10[[#This Row],[R33]]+COUNTIF(TabSLS10[[R1]:[R37]],TabSLS10[[#This Row],[R33]])-1&lt;=Sitze_Ausschuss,"SITZ","PATT"),"")</f>
        <v/>
      </c>
      <c r="CC18" s="45" t="str">
        <f>IF(TabSLS10[[#This Row],[R35]]&lt;=Sitze_Ausschuss,IF(TabSLS10[[#This Row],[R35]]+COUNTIF(TabSLS10[[R1]:[R37]],TabSLS10[[#This Row],[R35]])-1&lt;=Sitze_Ausschuss,"SITZ","PATT"),"")</f>
        <v/>
      </c>
      <c r="CD18" s="46" t="str">
        <f>IF(TabSLS10[[#This Row],[R37]]&lt;=Sitze_Ausschuss,IF(TabSLS10[[#This Row],[R37]]+COUNTIF(TabSLS10[[R1]:[R37]],TabSLS10[[#This Row],[R37]])-1&lt;=Sitze_Ausschuss,"SITZ","PATT"),"")</f>
        <v/>
      </c>
      <c r="CE18" s="47" t="b">
        <f>COUNTIF(TabSLS10[[#This Row],[SP1]:[SP37]],"PATT")&gt;0</f>
        <v>0</v>
      </c>
      <c r="CF18" s="33">
        <f>IF(TabSLS10[[#This Row],[Patt?]],(Sitze_Ausschuss-SUM(TabSLS10[Sitze]))/TabSLS10[[#Totals],[Patt?]],0)</f>
        <v>0</v>
      </c>
      <c r="CG18" s="48">
        <f>TabSLS10[[#This Row],[Patt?]]*IF(Pattaufloesung="Stimmen",TabPatt11[[#This Row],[Stimmen]],0)*1</f>
        <v>0</v>
      </c>
      <c r="CH18" s="49" t="b">
        <f>_xlfn.RANK.EQ(TabSLS10[[#This Row],[Stimmen Gelost]],TabSLS10[Stimmen Gelost],0)&lt;=(Sitze_Ausschuss-SUM(TabSLS10[Sitze]))</f>
        <v>0</v>
      </c>
      <c r="CI18" s="78" t="b">
        <f>OR(TabSLS10[[#This Row],[Sitze]]&lt;ROUNDDOWN(Grunddaten7[[#This Row],[Proporzgenaue Zahl Ausschuss]],0),TabSLS10[[#This Row],[Sitze]]+(TabSLS10[[#This Row],[Patt?]]*1)&gt;ROUNDUP(Grunddaten7[[#This Row],[Proporzgenaue Zahl Ausschuss]],0))</f>
        <v>0</v>
      </c>
      <c r="CJ18" s="3"/>
      <c r="CK18" s="36">
        <f>COUNTIF(TabDH12[[#This Row],[SP1]:[SP19]],"SITZ")</f>
        <v>0</v>
      </c>
      <c r="CL18" s="37">
        <f>IF(TabDH12[[#This Row],[Patt]],IF(Pattaufloesung="Los-Chance",TabDH12[[#This Row],[Los Chance]],TabDH12[[#This Row],[Pattgewinn]]+0),0)</f>
        <v>0</v>
      </c>
      <c r="CM18" s="38">
        <f>Grunddaten7[[#This Row],[Sitze im Hauptorgan]]/_xlfn.NUMBERVALUE(MID(INDEX(TabDH12[[#Headers],[:1]:[:19]],COLUMN()-COLUMN(TabDH12[[#Headers],[:1]])+1),2,3))</f>
        <v>0</v>
      </c>
      <c r="CN18" s="39">
        <f>Grunddaten7[[#This Row],[Sitze im Hauptorgan]]/_xlfn.NUMBERVALUE(MID(INDEX(TabDH12[[#Headers],[:1]:[:19]],COLUMN()-COLUMN(TabDH12[[#Headers],[:1]])+1),2,3))</f>
        <v>0</v>
      </c>
      <c r="CO18" s="39">
        <f>Grunddaten7[[#This Row],[Sitze im Hauptorgan]]/_xlfn.NUMBERVALUE(MID(INDEX(TabDH12[[#Headers],[:1]:[:19]],COLUMN()-COLUMN(TabDH12[[#Headers],[:1]])+1),2,3))</f>
        <v>0</v>
      </c>
      <c r="CP18" s="39">
        <f>Grunddaten7[[#This Row],[Sitze im Hauptorgan]]/_xlfn.NUMBERVALUE(MID(INDEX(TabDH12[[#Headers],[:1]:[:19]],COLUMN()-COLUMN(TabDH12[[#Headers],[:1]])+1),2,3))</f>
        <v>0</v>
      </c>
      <c r="CQ18" s="39">
        <f>Grunddaten7[[#This Row],[Sitze im Hauptorgan]]/_xlfn.NUMBERVALUE(MID(INDEX(TabDH12[[#Headers],[:1]:[:19]],COLUMN()-COLUMN(TabDH12[[#Headers],[:1]])+1),2,3))</f>
        <v>0</v>
      </c>
      <c r="CR18" s="39">
        <f>Grunddaten7[[#This Row],[Sitze im Hauptorgan]]/_xlfn.NUMBERVALUE(MID(INDEX(TabDH12[[#Headers],[:1]:[:19]],COLUMN()-COLUMN(TabDH12[[#Headers],[:1]])+1),2,3))</f>
        <v>0</v>
      </c>
      <c r="CS18" s="39">
        <f>Grunddaten7[[#This Row],[Sitze im Hauptorgan]]/_xlfn.NUMBERVALUE(MID(INDEX(TabDH12[[#Headers],[:1]:[:19]],COLUMN()-COLUMN(TabDH12[[#Headers],[:1]])+1),2,3))</f>
        <v>0</v>
      </c>
      <c r="CT18" s="39">
        <f>Grunddaten7[[#This Row],[Sitze im Hauptorgan]]/_xlfn.NUMBERVALUE(MID(INDEX(TabDH12[[#Headers],[:1]:[:19]],COLUMN()-COLUMN(TabDH12[[#Headers],[:1]])+1),2,3))</f>
        <v>0</v>
      </c>
      <c r="CU18" s="39">
        <f>Grunddaten7[[#This Row],[Sitze im Hauptorgan]]/_xlfn.NUMBERVALUE(MID(INDEX(TabDH12[[#Headers],[:1]:[:19]],COLUMN()-COLUMN(TabDH12[[#Headers],[:1]])+1),2,3))</f>
        <v>0</v>
      </c>
      <c r="CV18" s="39">
        <f>Grunddaten7[[#This Row],[Sitze im Hauptorgan]]/_xlfn.NUMBERVALUE(MID(INDEX(TabDH12[[#Headers],[:1]:[:19]],COLUMN()-COLUMN(TabDH12[[#Headers],[:1]])+1),2,3))</f>
        <v>0</v>
      </c>
      <c r="CW18" s="39">
        <f>Grunddaten7[[#This Row],[Sitze im Hauptorgan]]/_xlfn.NUMBERVALUE(MID(INDEX(TabDH12[[#Headers],[:1]:[:19]],COLUMN()-COLUMN(TabDH12[[#Headers],[:1]])+1),2,3))</f>
        <v>0</v>
      </c>
      <c r="CX18" s="39">
        <f>Grunddaten7[[#This Row],[Sitze im Hauptorgan]]/_xlfn.NUMBERVALUE(MID(INDEX(TabDH12[[#Headers],[:1]:[:19]],COLUMN()-COLUMN(TabDH12[[#Headers],[:1]])+1),2,3))</f>
        <v>0</v>
      </c>
      <c r="CY18" s="39">
        <f>Grunddaten7[[#This Row],[Sitze im Hauptorgan]]/_xlfn.NUMBERVALUE(MID(INDEX(TabDH12[[#Headers],[:1]:[:19]],COLUMN()-COLUMN(TabDH12[[#Headers],[:1]])+1),2,3))</f>
        <v>0</v>
      </c>
      <c r="CZ18" s="39">
        <f>Grunddaten7[[#This Row],[Sitze im Hauptorgan]]/_xlfn.NUMBERVALUE(MID(INDEX(TabDH12[[#Headers],[:1]:[:19]],COLUMN()-COLUMN(TabDH12[[#Headers],[:1]])+1),2,3))</f>
        <v>0</v>
      </c>
      <c r="DA18" s="39">
        <f>Grunddaten7[[#This Row],[Sitze im Hauptorgan]]/_xlfn.NUMBERVALUE(MID(INDEX(TabDH12[[#Headers],[:1]:[:19]],COLUMN()-COLUMN(TabDH12[[#Headers],[:1]])+1),2,3))</f>
        <v>0</v>
      </c>
      <c r="DB18" s="39">
        <f>Grunddaten7[[#This Row],[Sitze im Hauptorgan]]/_xlfn.NUMBERVALUE(MID(INDEX(TabDH12[[#Headers],[:1]:[:19]],COLUMN()-COLUMN(TabDH12[[#Headers],[:1]])+1),2,3))</f>
        <v>0</v>
      </c>
      <c r="DC18" s="39">
        <f>Grunddaten7[[#This Row],[Sitze im Hauptorgan]]/_xlfn.NUMBERVALUE(MID(INDEX(TabDH12[[#Headers],[:1]:[:19]],COLUMN()-COLUMN(TabDH12[[#Headers],[:1]])+1),2,3))</f>
        <v>0</v>
      </c>
      <c r="DD18" s="39">
        <f>Grunddaten7[[#This Row],[Sitze im Hauptorgan]]/_xlfn.NUMBERVALUE(MID(INDEX(TabDH12[[#Headers],[:1]:[:19]],COLUMN()-COLUMN(TabDH12[[#Headers],[:1]])+1),2,3))</f>
        <v>0</v>
      </c>
      <c r="DE18" s="40">
        <f>Grunddaten7[[#This Row],[Sitze im Hauptorgan]]/_xlfn.NUMBERVALUE(MID(INDEX(TabDH12[[#Headers],[:1]:[:19]],COLUMN()-COLUMN(TabDH12[[#Headers],[:1]])+1),2,3))</f>
        <v>0</v>
      </c>
      <c r="DF18" s="41">
        <f>_xlfn.RANK.EQ(TabDH12[[#This Row],[:1]],TabDH12[[:1]:[:19]],0)</f>
        <v>134</v>
      </c>
      <c r="DG18" s="42">
        <f>_xlfn.RANK.EQ(TabDH12[[#This Row],[:2]],TabDH12[[:1]:[:19]],0)</f>
        <v>134</v>
      </c>
      <c r="DH18" s="42">
        <f>_xlfn.RANK.EQ(TabDH12[[#This Row],[:3]],TabDH12[[:1]:[:19]],0)</f>
        <v>134</v>
      </c>
      <c r="DI18" s="42">
        <f>_xlfn.RANK.EQ(TabDH12[[#This Row],[:4]],TabDH12[[:1]:[:19]],0)</f>
        <v>134</v>
      </c>
      <c r="DJ18" s="42">
        <f>_xlfn.RANK.EQ(TabDH12[[#This Row],[:5]],TabDH12[[:1]:[:19]],0)</f>
        <v>134</v>
      </c>
      <c r="DK18" s="42">
        <f>_xlfn.RANK.EQ(TabDH12[[#This Row],[:6]],TabDH12[[:1]:[:19]],0)</f>
        <v>134</v>
      </c>
      <c r="DL18" s="42">
        <f>_xlfn.RANK.EQ(TabDH12[[#This Row],[:7]],TabDH12[[:1]:[:19]],0)</f>
        <v>134</v>
      </c>
      <c r="DM18" s="42">
        <f>_xlfn.RANK.EQ(TabDH12[[#This Row],[:8]],TabDH12[[:1]:[:19]],0)</f>
        <v>134</v>
      </c>
      <c r="DN18" s="42">
        <f>_xlfn.RANK.EQ(TabDH12[[#This Row],[:9]],TabDH12[[:1]:[:19]],0)</f>
        <v>134</v>
      </c>
      <c r="DO18" s="42">
        <f>_xlfn.RANK.EQ(TabDH12[[#This Row],[:10]],TabDH12[[:1]:[:19]],0)</f>
        <v>134</v>
      </c>
      <c r="DP18" s="42">
        <f>_xlfn.RANK.EQ(TabDH12[[#This Row],[:11]],TabDH12[[:1]:[:19]],0)</f>
        <v>134</v>
      </c>
      <c r="DQ18" s="42">
        <f>_xlfn.RANK.EQ(TabDH12[[#This Row],[:12]],TabDH12[[:1]:[:19]],0)</f>
        <v>134</v>
      </c>
      <c r="DR18" s="42">
        <f>_xlfn.RANK.EQ(TabDH12[[#This Row],[:13]],TabDH12[[:1]:[:19]],0)</f>
        <v>134</v>
      </c>
      <c r="DS18" s="42">
        <f>_xlfn.RANK.EQ(TabDH12[[#This Row],[:14]],TabDH12[[:1]:[:19]],0)</f>
        <v>134</v>
      </c>
      <c r="DT18" s="42">
        <f>_xlfn.RANK.EQ(TabDH12[[#This Row],[:15]],TabDH12[[:1]:[:19]],0)</f>
        <v>134</v>
      </c>
      <c r="DU18" s="42">
        <f>_xlfn.RANK.EQ(TabDH12[[#This Row],[:16]],TabDH12[[:1]:[:19]],0)</f>
        <v>134</v>
      </c>
      <c r="DV18" s="42">
        <f>_xlfn.RANK.EQ(TabDH12[[#This Row],[:17]],TabDH12[[:1]:[:19]],0)</f>
        <v>134</v>
      </c>
      <c r="DW18" s="42">
        <f>_xlfn.RANK.EQ(TabDH12[[#This Row],[:18]],TabDH12[[:1]:[:19]],0)</f>
        <v>134</v>
      </c>
      <c r="DX18" s="43">
        <f>_xlfn.RANK.EQ(TabDH12[[#This Row],[:19]],TabDH12[[:1]:[:19]],0)</f>
        <v>134</v>
      </c>
      <c r="DY18" s="44" t="str">
        <f>IF(TabDH12[[#This Row],[R1]]&lt;=Sitze_Ausschuss,IF(TabDH12[[#This Row],[R1]]+COUNTIF(TabDH12[[R1]:[R19]],TabDH12[[#This Row],[R1]])-1&lt;=Sitze_Ausschuss,"SITZ","PATT"),"")</f>
        <v/>
      </c>
      <c r="DZ18" s="45" t="str">
        <f>IF(TabDH12[[#This Row],[R2]]&lt;=Sitze_Ausschuss,IF(TabDH12[[#This Row],[R2]]+COUNTIF(TabDH12[[R1]:[R19]],TabDH12[[#This Row],[R2]])-1&lt;=Sitze_Ausschuss,"SITZ","PATT"),"")</f>
        <v/>
      </c>
      <c r="EA18" s="45" t="str">
        <f>IF(TabDH12[[#This Row],[R3]]&lt;=Sitze_Ausschuss,IF(TabDH12[[#This Row],[R3]]+COUNTIF(TabDH12[[R1]:[R19]],TabDH12[[#This Row],[R3]])-1&lt;=Sitze_Ausschuss,"SITZ","PATT"),"")</f>
        <v/>
      </c>
      <c r="EB18" s="45" t="str">
        <f>IF(TabDH12[[#This Row],[R4]]&lt;=Sitze_Ausschuss,IF(TabDH12[[#This Row],[R4]]+COUNTIF(TabDH12[[R1]:[R19]],TabDH12[[#This Row],[R4]])-1&lt;=Sitze_Ausschuss,"SITZ","PATT"),"")</f>
        <v/>
      </c>
      <c r="EC18" s="45" t="str">
        <f>IF(TabDH12[[#This Row],[R5]]&lt;=Sitze_Ausschuss,IF(TabDH12[[#This Row],[R5]]+COUNTIF(TabDH12[[R1]:[R19]],TabDH12[[#This Row],[R5]])-1&lt;=Sitze_Ausschuss,"SITZ","PATT"),"")</f>
        <v/>
      </c>
      <c r="ED18" s="45" t="str">
        <f>IF(TabDH12[[#This Row],[R6]]&lt;=Sitze_Ausschuss,IF(TabDH12[[#This Row],[R6]]+COUNTIF(TabDH12[[R1]:[R19]],TabDH12[[#This Row],[R6]])-1&lt;=Sitze_Ausschuss,"SITZ","PATT"),"")</f>
        <v/>
      </c>
      <c r="EE18" s="45" t="str">
        <f>IF(TabDH12[[#This Row],[R7]]&lt;=Sitze_Ausschuss,IF(TabDH12[[#This Row],[R7]]+COUNTIF(TabDH12[[R1]:[R19]],TabDH12[[#This Row],[R7]])-1&lt;=Sitze_Ausschuss,"SITZ","PATT"),"")</f>
        <v/>
      </c>
      <c r="EF18" s="45" t="str">
        <f>IF(TabDH12[[#This Row],[R8]]&lt;=Sitze_Ausschuss,IF(TabDH12[[#This Row],[R8]]+COUNTIF(TabDH12[[R1]:[R19]],TabDH12[[#This Row],[R8]])-1&lt;=Sitze_Ausschuss,"SITZ","PATT"),"")</f>
        <v/>
      </c>
      <c r="EG18" s="45" t="str">
        <f>IF(TabDH12[[#This Row],[R9]]&lt;=Sitze_Ausschuss,IF(TabDH12[[#This Row],[R9]]+COUNTIF(TabDH12[[R1]:[R19]],TabDH12[[#This Row],[R9]])-1&lt;=Sitze_Ausschuss,"SITZ","PATT"),"")</f>
        <v/>
      </c>
      <c r="EH18" s="45" t="str">
        <f>IF(TabDH12[[#This Row],[R10]]&lt;=Sitze_Ausschuss,IF(TabDH12[[#This Row],[R10]]+COUNTIF(TabDH12[[R1]:[R19]],TabDH12[[#This Row],[R10]])-1&lt;=Sitze_Ausschuss,"SITZ","PATT"),"")</f>
        <v/>
      </c>
      <c r="EI18" s="45" t="str">
        <f>IF(TabDH12[[#This Row],[R11]]&lt;=Sitze_Ausschuss,IF(TabDH12[[#This Row],[R11]]+COUNTIF(TabDH12[[R1]:[R19]],TabDH12[[#This Row],[R11]])-1&lt;=Sitze_Ausschuss,"SITZ","PATT"),"")</f>
        <v/>
      </c>
      <c r="EJ18" s="45" t="str">
        <f>IF(TabDH12[[#This Row],[R12]]&lt;=Sitze_Ausschuss,IF(TabDH12[[#This Row],[R12]]+COUNTIF(TabDH12[[R1]:[R19]],TabDH12[[#This Row],[R12]])-1&lt;=Sitze_Ausschuss,"SITZ","PATT"),"")</f>
        <v/>
      </c>
      <c r="EK18" s="45" t="str">
        <f>IF(TabDH12[[#This Row],[R13]]&lt;=Sitze_Ausschuss,IF(TabDH12[[#This Row],[R13]]+COUNTIF(TabDH12[[R1]:[R19]],TabDH12[[#This Row],[R13]])-1&lt;=Sitze_Ausschuss,"SITZ","PATT"),"")</f>
        <v/>
      </c>
      <c r="EL18" s="45" t="str">
        <f>IF(TabDH12[[#This Row],[R14]]&lt;=Sitze_Ausschuss,IF(TabDH12[[#This Row],[R14]]+COUNTIF(TabDH12[[R1]:[R19]],TabDH12[[#This Row],[R14]])-1&lt;=Sitze_Ausschuss,"SITZ","PATT"),"")</f>
        <v/>
      </c>
      <c r="EM18" s="45" t="str">
        <f>IF(TabDH12[[#This Row],[R15]]&lt;=Sitze_Ausschuss,IF(TabDH12[[#This Row],[R15]]+COUNTIF(TabDH12[[R1]:[R19]],TabDH12[[#This Row],[R15]])-1&lt;=Sitze_Ausschuss,"SITZ","PATT"),"")</f>
        <v/>
      </c>
      <c r="EN18" s="45" t="str">
        <f>IF(TabDH12[[#This Row],[R16]]&lt;=Sitze_Ausschuss,IF(TabDH12[[#This Row],[R16]]+COUNTIF(TabDH12[[R1]:[R19]],TabDH12[[#This Row],[R16]])-1&lt;=Sitze_Ausschuss,"SITZ","PATT"),"")</f>
        <v/>
      </c>
      <c r="EO18" s="45" t="str">
        <f>IF(TabDH12[[#This Row],[R17]]&lt;=Sitze_Ausschuss,IF(TabDH12[[#This Row],[R17]]+COUNTIF(TabDH12[[R1]:[R19]],TabDH12[[#This Row],[R17]])-1&lt;=Sitze_Ausschuss,"SITZ","PATT"),"")</f>
        <v/>
      </c>
      <c r="EP18" s="45" t="str">
        <f>IF(TabDH12[[#This Row],[R18]]&lt;=Sitze_Ausschuss,IF(TabDH12[[#This Row],[R18]]+COUNTIF(TabDH12[[R1]:[R19]],TabDH12[[#This Row],[R18]])-1&lt;=Sitze_Ausschuss,"SITZ","PATT"),"")</f>
        <v/>
      </c>
      <c r="EQ18" s="45" t="str">
        <f>IF(TabDH12[[#This Row],[R19]]&lt;=Sitze_Ausschuss,IF(TabDH12[[#This Row],[R19]]+COUNTIF(TabDH12[[R1]:[R19]],TabDH12[[#This Row],[R19]])-1&lt;=Sitze_Ausschuss,"SITZ","PATT"),"")</f>
        <v/>
      </c>
      <c r="ER18" s="47" t="b">
        <f>COUNTIF(TabDH12[[#This Row],[SP1]:[SP19]],"PATT")&gt;0</f>
        <v>0</v>
      </c>
      <c r="ES18" s="33">
        <f>IF(TabDH12[[#This Row],[Patt]],(Sitze_Ausschuss-SUM(TabDH12[Sitze]))/TabDH12[[#Totals],[Patt]],0)</f>
        <v>0</v>
      </c>
      <c r="ET18" s="48">
        <f>TabDH12[[#This Row],[Patt]]*IF(Pattaufloesung="Stimmen",TabPatt11[[#This Row],[Stimmen]],0)*1</f>
        <v>0</v>
      </c>
      <c r="EU18" s="49" t="b">
        <f>_xlfn.RANK.EQ(TabDH12[[#This Row],[Stimmen/Gelost]],TabDH12[Stimmen/Gelost],0)&lt;=(Sitze_Ausschuss-SUM(TabDH12[Sitze]))</f>
        <v>1</v>
      </c>
      <c r="EV18" s="50" t="b">
        <f>OR(TabDH12[[#This Row],[Sitze]]&lt;ROUNDDOWN(Grunddaten7[[#This Row],[Proporzgenaue Zahl Ausschuss]],0),TabDH12[[#This Row],[Sitze]]+(TabDH12[[#This Row],[Patt]]*1)&gt;ROUNDUP(Grunddaten7[[#This Row],[Proporzgenaue Zahl Ausschuss]],0))</f>
        <v>0</v>
      </c>
      <c r="EW18" s="3"/>
      <c r="EX18" s="51" t="str">
        <f>Grunddaten7[[#This Row],[Partei/Wählergruppe]]&amp;""</f>
        <v/>
      </c>
      <c r="EY18" s="51">
        <f t="shared" si="6"/>
        <v>0</v>
      </c>
      <c r="EZ18" s="3"/>
      <c r="FA18" s="3"/>
      <c r="FB18" s="3"/>
      <c r="FC18" s="3"/>
      <c r="FD18" s="3"/>
    </row>
    <row r="19" spans="1:160" ht="15.75" thickBot="1" x14ac:dyDescent="0.3">
      <c r="A19" s="3"/>
      <c r="B19" s="89" t="str">
        <f t="shared" si="0"/>
        <v/>
      </c>
      <c r="C19" s="91">
        <f t="shared" si="1"/>
        <v>0</v>
      </c>
      <c r="D19" s="168">
        <f>Grunddaten7[[#This Row],[Sitze im Hauptorgan]]/Grunddaten7[[#Totals],[Sitze im Hauptorgan]]*Sitze_Ausschuss</f>
        <v>0</v>
      </c>
      <c r="E19" s="159">
        <f>IF(ROUNDDOWN(Grunddaten7[[#This Row],[Proporzgenaue Zahl Ausschuss]],0)&lt;&gt;ROUNDUP(Grunddaten7[[#This Row],[Proporzgenaue Zahl Ausschuss]],0), ROUNDDOWN(Grunddaten7[[#This Row],[Proporzgenaue Zahl Ausschuss]],0)&amp;" oder "&amp;ROUNDUP(Grunddaten7[[#This Row],[Proporzgenaue Zahl Ausschuss]],0),ROUND(Grunddaten7[[#This Row],[Proporzgenaue Zahl Ausschuss]],0))</f>
        <v>0</v>
      </c>
      <c r="F19" s="52" t="str">
        <f>"OK"</f>
        <v>OK</v>
      </c>
      <c r="G19" s="52" t="str">
        <f>IF(TabSLS10[[#This Row],[QK verletzt]],"NOK","OK")</f>
        <v>OK</v>
      </c>
      <c r="H19" s="53" t="str">
        <f>IF(TabDH12[[#This Row],[QK verletzt]],"NOK","OK")</f>
        <v>OK</v>
      </c>
      <c r="I19" s="163">
        <f t="shared" si="3"/>
        <v>0</v>
      </c>
      <c r="J19" s="163">
        <f t="shared" si="4"/>
        <v>0</v>
      </c>
      <c r="K19" s="163">
        <f t="shared" si="5"/>
        <v>0</v>
      </c>
      <c r="L19" s="3"/>
      <c r="M19" s="92">
        <f>TabHN9[[#This Row],[S ganz]]+IF(NOT(TabHN9[[#This Row],[Patt]]),TabHN9[[#This Row],[Restsitz]],0)</f>
        <v>0</v>
      </c>
      <c r="N19" s="162">
        <f>IF(TabHN9[[#This Row],[Patt]],IF(Pattaufloesung="Los-Chance",TabHN9[[#This Row],[Los Chance]],TabHN9[[#This Row],[Pattgewinn]]+0),0)</f>
        <v>0</v>
      </c>
      <c r="O19" s="79">
        <f>INT(Grunddaten7[[#This Row],[Proporzgenaue Zahl Ausschuss]])</f>
        <v>0</v>
      </c>
      <c r="P19" s="80">
        <f>ROUND(Grunddaten7[[#This Row],[Proporzgenaue Zahl Ausschuss]]-TabHN9[[#This Row],[S ganz]],4)</f>
        <v>0</v>
      </c>
      <c r="Q19" s="81">
        <f>_xlfn.RANK.EQ(TabHN9[[#This Row],[S Rest]],TabHN9[S Rest],0)</f>
        <v>5</v>
      </c>
      <c r="R19" s="82">
        <f>IF(TabHN9[[#This Row],[Rng Rest]]&lt;=TabHN9[[#Totals],[S Rest]],1,0)</f>
        <v>0</v>
      </c>
      <c r="S19" s="82" t="b">
        <f>AND(TabHN9[[#This Row],[Restsitz]]=1,(COUNTIF(TabHN9[Rng Rest],TabHN9[[#This Row],[Rng Rest]])+TabHN9[[#This Row],[Rng Rest]]-1)&gt;TabHN9[[#Totals],[S Rest]])</f>
        <v>0</v>
      </c>
      <c r="T19" s="83">
        <f>IF(TabHN9[[#This Row],[Patt]],(Sitze_Ausschuss-SUM(TabHN9[Sitze]))/TabHN9[[#Totals],[Patt]],0)</f>
        <v>0</v>
      </c>
      <c r="U19" s="84">
        <f>TabHN9[[#This Row],[Patt]]*IF(Pattaufloesung="Stimmen",TabPatt11[[#This Row],[Stimmen]],0)*1</f>
        <v>0</v>
      </c>
      <c r="V19" s="53" t="b">
        <f>_xlfn.RANK.EQ(TabHN9[[#This Row],[Stimmen/Gelost]],TabHN9[Stimmen/Gelost],0)&lt;=(Sitze_Ausschuss-SUM(TabHN9[Sitze]))</f>
        <v>0</v>
      </c>
      <c r="W19" s="3"/>
      <c r="X19" s="36">
        <f>COUNTIF(TabSLS10[[#This Row],[SP1]:[SP37]],"SITZ")</f>
        <v>0</v>
      </c>
      <c r="Y19" s="37">
        <f>IF(TabSLS10[[#This Row],[Patt?]],IF(Pattaufloesung="Los-Chance",TabSLS10[[#This Row],[Los Chance]],TabSLS10[[#This Row],[Pattgewinn]]+0),0)</f>
        <v>0</v>
      </c>
      <c r="Z19" s="38">
        <f>Grunddaten7[[#This Row],[Sitze im Hauptorgan]]/_xlfn.NUMBERVALUE(MID(INDEX(TabSLS10[[#Headers],[:1]:[:37]],COLUMN()-COLUMN(TabSLS10[[#Headers],[:1]])+1),2,3))</f>
        <v>0</v>
      </c>
      <c r="AA19" s="39">
        <f>Grunddaten7[[#This Row],[Sitze im Hauptorgan]]/_xlfn.NUMBERVALUE(MID(INDEX(TabSLS10[[#Headers],[:1]:[:37]],COLUMN()-COLUMN(TabSLS10[[#Headers],[:1]])+1),2,3))</f>
        <v>0</v>
      </c>
      <c r="AB19" s="39">
        <f>Grunddaten7[[#This Row],[Sitze im Hauptorgan]]/_xlfn.NUMBERVALUE(MID(INDEX(TabSLS10[[#Headers],[:1]:[:37]],COLUMN()-COLUMN(TabSLS10[[#Headers],[:1]])+1),2,3))</f>
        <v>0</v>
      </c>
      <c r="AC19" s="39">
        <f>Grunddaten7[[#This Row],[Sitze im Hauptorgan]]/_xlfn.NUMBERVALUE(MID(INDEX(TabSLS10[[#Headers],[:1]:[:37]],COLUMN()-COLUMN(TabSLS10[[#Headers],[:1]])+1),2,3))</f>
        <v>0</v>
      </c>
      <c r="AD19" s="39">
        <f>Grunddaten7[[#This Row],[Sitze im Hauptorgan]]/_xlfn.NUMBERVALUE(MID(INDEX(TabSLS10[[#Headers],[:1]:[:37]],COLUMN()-COLUMN(TabSLS10[[#Headers],[:1]])+1),2,3))</f>
        <v>0</v>
      </c>
      <c r="AE19" s="39">
        <f>Grunddaten7[[#This Row],[Sitze im Hauptorgan]]/_xlfn.NUMBERVALUE(MID(INDEX(TabSLS10[[#Headers],[:1]:[:37]],COLUMN()-COLUMN(TabSLS10[[#Headers],[:1]])+1),2,3))</f>
        <v>0</v>
      </c>
      <c r="AF19" s="39">
        <f>Grunddaten7[[#This Row],[Sitze im Hauptorgan]]/_xlfn.NUMBERVALUE(MID(INDEX(TabSLS10[[#Headers],[:1]:[:37]],COLUMN()-COLUMN(TabSLS10[[#Headers],[:1]])+1),2,3))</f>
        <v>0</v>
      </c>
      <c r="AG19" s="39">
        <f>Grunddaten7[[#This Row],[Sitze im Hauptorgan]]/_xlfn.NUMBERVALUE(MID(INDEX(TabSLS10[[#Headers],[:1]:[:37]],COLUMN()-COLUMN(TabSLS10[[#Headers],[:1]])+1),2,3))</f>
        <v>0</v>
      </c>
      <c r="AH19" s="39">
        <f>Grunddaten7[[#This Row],[Sitze im Hauptorgan]]/_xlfn.NUMBERVALUE(MID(INDEX(TabSLS10[[#Headers],[:1]:[:37]],COLUMN()-COLUMN(TabSLS10[[#Headers],[:1]])+1),2,3))</f>
        <v>0</v>
      </c>
      <c r="AI19" s="39">
        <f>Grunddaten7[[#This Row],[Sitze im Hauptorgan]]/_xlfn.NUMBERVALUE(MID(INDEX(TabSLS10[[#Headers],[:1]:[:37]],COLUMN()-COLUMN(TabSLS10[[#Headers],[:1]])+1),2,3))</f>
        <v>0</v>
      </c>
      <c r="AJ19" s="39">
        <f>Grunddaten7[[#This Row],[Sitze im Hauptorgan]]/_xlfn.NUMBERVALUE(MID(INDEX(TabSLS10[[#Headers],[:1]:[:37]],COLUMN()-COLUMN(TabSLS10[[#Headers],[:1]])+1),2,3))</f>
        <v>0</v>
      </c>
      <c r="AK19" s="39">
        <f>Grunddaten7[[#This Row],[Sitze im Hauptorgan]]/_xlfn.NUMBERVALUE(MID(INDEX(TabSLS10[[#Headers],[:1]:[:37]],COLUMN()-COLUMN(TabSLS10[[#Headers],[:1]])+1),2,3))</f>
        <v>0</v>
      </c>
      <c r="AL19" s="39">
        <f>Grunddaten7[[#This Row],[Sitze im Hauptorgan]]/_xlfn.NUMBERVALUE(MID(INDEX(TabSLS10[[#Headers],[:1]:[:37]],COLUMN()-COLUMN(TabSLS10[[#Headers],[:1]])+1),2,3))</f>
        <v>0</v>
      </c>
      <c r="AM19" s="39">
        <f>Grunddaten7[[#This Row],[Sitze im Hauptorgan]]/_xlfn.NUMBERVALUE(MID(INDEX(TabSLS10[[#Headers],[:1]:[:37]],COLUMN()-COLUMN(TabSLS10[[#Headers],[:1]])+1),2,3))</f>
        <v>0</v>
      </c>
      <c r="AN19" s="39">
        <f>Grunddaten7[[#This Row],[Sitze im Hauptorgan]]/_xlfn.NUMBERVALUE(MID(INDEX(TabSLS10[[#Headers],[:1]:[:37]],COLUMN()-COLUMN(TabSLS10[[#Headers],[:1]])+1),2,3))</f>
        <v>0</v>
      </c>
      <c r="AO19" s="39">
        <f>Grunddaten7[[#This Row],[Sitze im Hauptorgan]]/_xlfn.NUMBERVALUE(MID(INDEX(TabSLS10[[#Headers],[:1]:[:37]],COLUMN()-COLUMN(TabSLS10[[#Headers],[:1]])+1),2,3))</f>
        <v>0</v>
      </c>
      <c r="AP19" s="39">
        <f>Grunddaten7[[#This Row],[Sitze im Hauptorgan]]/_xlfn.NUMBERVALUE(MID(INDEX(TabSLS10[[#Headers],[:1]:[:37]],COLUMN()-COLUMN(TabSLS10[[#Headers],[:1]])+1),2,3))</f>
        <v>0</v>
      </c>
      <c r="AQ19" s="39">
        <f>Grunddaten7[[#This Row],[Sitze im Hauptorgan]]/_xlfn.NUMBERVALUE(MID(INDEX(TabSLS10[[#Headers],[:1]:[:37]],COLUMN()-COLUMN(TabSLS10[[#Headers],[:1]])+1),2,3))</f>
        <v>0</v>
      </c>
      <c r="AR19" s="40">
        <f>Grunddaten7[[#This Row],[Sitze im Hauptorgan]]/_xlfn.NUMBERVALUE(MID(INDEX(TabSLS10[[#Headers],[:1]:[:37]],COLUMN()-COLUMN(TabSLS10[[#Headers],[:1]])+1),2,3))</f>
        <v>0</v>
      </c>
      <c r="AS19" s="41">
        <f>_xlfn.RANK.EQ(TabSLS10[[#This Row],[:1]],TabSLS10[[:1]:[:37]],0)</f>
        <v>134</v>
      </c>
      <c r="AT19" s="42">
        <f>_xlfn.RANK.EQ(TabSLS10[[#This Row],[:3]],TabSLS10[[:1]:[:37]],0)</f>
        <v>134</v>
      </c>
      <c r="AU19" s="42">
        <f>_xlfn.RANK.EQ(TabSLS10[[#This Row],[:5]],TabSLS10[[:1]:[:37]],0)</f>
        <v>134</v>
      </c>
      <c r="AV19" s="42">
        <f>_xlfn.RANK.EQ(TabSLS10[[#This Row],[:7]],TabSLS10[[:1]:[:37]],0)</f>
        <v>134</v>
      </c>
      <c r="AW19" s="42">
        <f>_xlfn.RANK.EQ(TabSLS10[[#This Row],[:9]],TabSLS10[[:1]:[:37]],0)</f>
        <v>134</v>
      </c>
      <c r="AX19" s="42">
        <f>_xlfn.RANK.EQ(TabSLS10[[#This Row],[:11]],TabSLS10[[:1]:[:37]],0)</f>
        <v>134</v>
      </c>
      <c r="AY19" s="42">
        <f>_xlfn.RANK.EQ(TabSLS10[[#This Row],[:13]],TabSLS10[[:1]:[:37]],0)</f>
        <v>134</v>
      </c>
      <c r="AZ19" s="42">
        <f>_xlfn.RANK.EQ(TabSLS10[[#This Row],[:15]],TabSLS10[[:1]:[:37]],0)</f>
        <v>134</v>
      </c>
      <c r="BA19" s="42">
        <f>_xlfn.RANK.EQ(TabSLS10[[#This Row],[:17]],TabSLS10[[:1]:[:37]],0)</f>
        <v>134</v>
      </c>
      <c r="BB19" s="42">
        <f>_xlfn.RANK.EQ(TabSLS10[[#This Row],[:19]],TabSLS10[[:1]:[:37]],0)</f>
        <v>134</v>
      </c>
      <c r="BC19" s="42">
        <f>_xlfn.RANK.EQ(TabSLS10[[#This Row],[:21]],TabSLS10[[:1]:[:37]],0)</f>
        <v>134</v>
      </c>
      <c r="BD19" s="42">
        <f>_xlfn.RANK.EQ(TabSLS10[[#This Row],[:23]],TabSLS10[[:1]:[:37]],0)</f>
        <v>134</v>
      </c>
      <c r="BE19" s="42">
        <f>_xlfn.RANK.EQ(TabSLS10[[#This Row],[:25]],TabSLS10[[:1]:[:37]],0)</f>
        <v>134</v>
      </c>
      <c r="BF19" s="42">
        <f>_xlfn.RANK.EQ(TabSLS10[[#This Row],[:27]],TabSLS10[[:1]:[:37]],0)</f>
        <v>134</v>
      </c>
      <c r="BG19" s="42">
        <f>_xlfn.RANK.EQ(TabSLS10[[#This Row],[:29]],TabSLS10[[:1]:[:37]],0)</f>
        <v>134</v>
      </c>
      <c r="BH19" s="42">
        <f>_xlfn.RANK.EQ(TabSLS10[[#This Row],[:31]],TabSLS10[[:1]:[:37]],0)</f>
        <v>134</v>
      </c>
      <c r="BI19" s="42">
        <f>_xlfn.RANK.EQ(TabSLS10[[#This Row],[:33]],TabSLS10[[:1]:[:37]],0)</f>
        <v>134</v>
      </c>
      <c r="BJ19" s="42">
        <f>_xlfn.RANK.EQ(TabSLS10[[#This Row],[:35]],TabSLS10[[:1]:[:37]],0)</f>
        <v>134</v>
      </c>
      <c r="BK19" s="43">
        <f>_xlfn.RANK.EQ(TabSLS10[[#This Row],[:37]],TabSLS10[[:1]:[:37]],0)</f>
        <v>134</v>
      </c>
      <c r="BL19" s="44" t="str">
        <f>IF(TabSLS10[[#This Row],[R1]]&lt;=Sitze_Ausschuss,IF(TabSLS10[[#This Row],[R1]]+COUNTIF(TabSLS10[[R1]:[R37]],TabSLS10[[#This Row],[R1]])-1&lt;=Sitze_Ausschuss,"SITZ","PATT"),"")</f>
        <v/>
      </c>
      <c r="BM19" s="45" t="str">
        <f>IF(TabSLS10[[#This Row],[R3]]&lt;=Sitze_Ausschuss,IF(TabSLS10[[#This Row],[R3]]+COUNTIF(TabSLS10[[R1]:[R37]],TabSLS10[[#This Row],[R3]])-1&lt;=Sitze_Ausschuss,"SITZ","PATT"),"")</f>
        <v/>
      </c>
      <c r="BN19" s="45" t="str">
        <f>IF(TabSLS10[[#This Row],[R5]]&lt;=Sitze_Ausschuss,IF(TabSLS10[[#This Row],[R5]]+COUNTIF(TabSLS10[[R1]:[R37]],TabSLS10[[#This Row],[R5]])-1&lt;=Sitze_Ausschuss,"SITZ","PATT"),"")</f>
        <v/>
      </c>
      <c r="BO19" s="45" t="str">
        <f>IF(TabSLS10[[#This Row],[R7]]&lt;=Sitze_Ausschuss,IF(TabSLS10[[#This Row],[R7]]+COUNTIF(TabSLS10[[R1]:[R37]],TabSLS10[[#This Row],[R7]])-1&lt;=Sitze_Ausschuss,"SITZ","PATT"),"")</f>
        <v/>
      </c>
      <c r="BP19" s="45" t="str">
        <f>IF(TabSLS10[[#This Row],[R9]]&lt;=Sitze_Ausschuss,IF(TabSLS10[[#This Row],[R9]]+COUNTIF(TabSLS10[[R1]:[R37]],TabSLS10[[#This Row],[R9]])-1&lt;=Sitze_Ausschuss,"SITZ","PATT"),"")</f>
        <v/>
      </c>
      <c r="BQ19" s="45" t="str">
        <f>IF(TabSLS10[[#This Row],[R11]]&lt;=Sitze_Ausschuss,IF(TabSLS10[[#This Row],[R11]]+COUNTIF(TabSLS10[[R1]:[R37]],TabSLS10[[#This Row],[R11]])-1&lt;=Sitze_Ausschuss,"SITZ","PATT"),"")</f>
        <v/>
      </c>
      <c r="BR19" s="45" t="str">
        <f>IF(TabSLS10[[#This Row],[R13]]&lt;=Sitze_Ausschuss,IF(TabSLS10[[#This Row],[R13]]+COUNTIF(TabSLS10[[R1]:[R37]],TabSLS10[[#This Row],[R13]])-1&lt;=Sitze_Ausschuss,"SITZ","PATT"),"")</f>
        <v/>
      </c>
      <c r="BS19" s="45" t="str">
        <f>IF(TabSLS10[[#This Row],[R15]]&lt;=Sitze_Ausschuss,IF(TabSLS10[[#This Row],[R15]]+COUNTIF(TabSLS10[[R1]:[R37]],TabSLS10[[#This Row],[R15]])-1&lt;=Sitze_Ausschuss,"SITZ","PATT"),"")</f>
        <v/>
      </c>
      <c r="BT19" s="45" t="str">
        <f>IF(TabSLS10[[#This Row],[R17]]&lt;=Sitze_Ausschuss,IF(TabSLS10[[#This Row],[R17]]+COUNTIF(TabSLS10[[R1]:[R37]],TabSLS10[[#This Row],[R17]])-1&lt;=Sitze_Ausschuss,"SITZ","PATT"),"")</f>
        <v/>
      </c>
      <c r="BU19" s="45" t="str">
        <f>IF(TabSLS10[[#This Row],[R19]]&lt;=Sitze_Ausschuss,IF(TabSLS10[[#This Row],[R19]]+COUNTIF(TabSLS10[[R1]:[R37]],TabSLS10[[#This Row],[R19]])-1&lt;=Sitze_Ausschuss,"SITZ","PATT"),"")</f>
        <v/>
      </c>
      <c r="BV19" s="45" t="str">
        <f>IF(TabSLS10[[#This Row],[R21]]&lt;=Sitze_Ausschuss,IF(TabSLS10[[#This Row],[R21]]+COUNTIF(TabSLS10[[R1]:[R37]],TabSLS10[[#This Row],[R21]])-1&lt;=Sitze_Ausschuss,"SITZ","PATT"),"")</f>
        <v/>
      </c>
      <c r="BW19" s="45" t="str">
        <f>IF(TabSLS10[[#This Row],[R23]]&lt;=Sitze_Ausschuss,IF(TabSLS10[[#This Row],[R23]]+COUNTIF(TabSLS10[[R1]:[R37]],TabSLS10[[#This Row],[R23]])-1&lt;=Sitze_Ausschuss,"SITZ","PATT"),"")</f>
        <v/>
      </c>
      <c r="BX19" s="45" t="str">
        <f>IF(TabSLS10[[#This Row],[R25]]&lt;=Sitze_Ausschuss,IF(TabSLS10[[#This Row],[R25]]+COUNTIF(TabSLS10[[R1]:[R37]],TabSLS10[[#This Row],[R25]])-1&lt;=Sitze_Ausschuss,"SITZ","PATT"),"")</f>
        <v/>
      </c>
      <c r="BY19" s="45" t="str">
        <f>IF(TabSLS10[[#This Row],[R27]]&lt;=Sitze_Ausschuss,IF(TabSLS10[[#This Row],[R27]]+COUNTIF(TabSLS10[[R1]:[R37]],TabSLS10[[#This Row],[R27]])-1&lt;=Sitze_Ausschuss,"SITZ","PATT"),"")</f>
        <v/>
      </c>
      <c r="BZ19" s="45" t="str">
        <f>IF(TabSLS10[[#This Row],[R29]]&lt;=Sitze_Ausschuss,IF(TabSLS10[[#This Row],[R29]]+COUNTIF(TabSLS10[[R1]:[R37]],TabSLS10[[#This Row],[R29]])-1&lt;=Sitze_Ausschuss,"SITZ","PATT"),"")</f>
        <v/>
      </c>
      <c r="CA19" s="45" t="str">
        <f>IF(TabSLS10[[#This Row],[R31]]&lt;=Sitze_Ausschuss,IF(TabSLS10[[#This Row],[R31]]+COUNTIF(TabSLS10[[R1]:[R37]],TabSLS10[[#This Row],[R31]])-1&lt;=Sitze_Ausschuss,"SITZ","PATT"),"")</f>
        <v/>
      </c>
      <c r="CB19" s="45" t="str">
        <f>IF(TabSLS10[[#This Row],[R33]]&lt;=Sitze_Ausschuss,IF(TabSLS10[[#This Row],[R33]]+COUNTIF(TabSLS10[[R1]:[R37]],TabSLS10[[#This Row],[R33]])-1&lt;=Sitze_Ausschuss,"SITZ","PATT"),"")</f>
        <v/>
      </c>
      <c r="CC19" s="45" t="str">
        <f>IF(TabSLS10[[#This Row],[R35]]&lt;=Sitze_Ausschuss,IF(TabSLS10[[#This Row],[R35]]+COUNTIF(TabSLS10[[R1]:[R37]],TabSLS10[[#This Row],[R35]])-1&lt;=Sitze_Ausschuss,"SITZ","PATT"),"")</f>
        <v/>
      </c>
      <c r="CD19" s="46" t="str">
        <f>IF(TabSLS10[[#This Row],[R37]]&lt;=Sitze_Ausschuss,IF(TabSLS10[[#This Row],[R37]]+COUNTIF(TabSLS10[[R1]:[R37]],TabSLS10[[#This Row],[R37]])-1&lt;=Sitze_Ausschuss,"SITZ","PATT"),"")</f>
        <v/>
      </c>
      <c r="CE19" s="47" t="b">
        <f>COUNTIF(TabSLS10[[#This Row],[SP1]:[SP37]],"PATT")&gt;0</f>
        <v>0</v>
      </c>
      <c r="CF19" s="33">
        <f>IF(TabSLS10[[#This Row],[Patt?]],(Sitze_Ausschuss-SUM(TabSLS10[Sitze]))/TabSLS10[[#Totals],[Patt?]],0)</f>
        <v>0</v>
      </c>
      <c r="CG19" s="48">
        <f>TabSLS10[[#This Row],[Patt?]]*IF(Pattaufloesung="Stimmen",TabPatt11[[#This Row],[Stimmen]],0)*1</f>
        <v>0</v>
      </c>
      <c r="CH19" s="49" t="b">
        <f>_xlfn.RANK.EQ(TabSLS10[[#This Row],[Stimmen Gelost]],TabSLS10[Stimmen Gelost],0)&lt;=(Sitze_Ausschuss-SUM(TabSLS10[Sitze]))</f>
        <v>0</v>
      </c>
      <c r="CI19" s="78" t="b">
        <f>OR(TabSLS10[[#This Row],[Sitze]]&lt;ROUNDDOWN(Grunddaten7[[#This Row],[Proporzgenaue Zahl Ausschuss]],0),TabSLS10[[#This Row],[Sitze]]+(TabSLS10[[#This Row],[Patt?]]*1)&gt;ROUNDUP(Grunddaten7[[#This Row],[Proporzgenaue Zahl Ausschuss]],0))</f>
        <v>0</v>
      </c>
      <c r="CJ19" s="3"/>
      <c r="CK19" s="36">
        <f>COUNTIF(TabDH12[[#This Row],[SP1]:[SP19]],"SITZ")</f>
        <v>0</v>
      </c>
      <c r="CL19" s="37">
        <f>IF(TabDH12[[#This Row],[Patt]],IF(Pattaufloesung="Los-Chance",TabDH12[[#This Row],[Los Chance]],TabDH12[[#This Row],[Pattgewinn]]+0),0)</f>
        <v>0</v>
      </c>
      <c r="CM19" s="38">
        <f>Grunddaten7[[#This Row],[Sitze im Hauptorgan]]/_xlfn.NUMBERVALUE(MID(INDEX(TabDH12[[#Headers],[:1]:[:19]],COLUMN()-COLUMN(TabDH12[[#Headers],[:1]])+1),2,3))</f>
        <v>0</v>
      </c>
      <c r="CN19" s="39">
        <f>Grunddaten7[[#This Row],[Sitze im Hauptorgan]]/_xlfn.NUMBERVALUE(MID(INDEX(TabDH12[[#Headers],[:1]:[:19]],COLUMN()-COLUMN(TabDH12[[#Headers],[:1]])+1),2,3))</f>
        <v>0</v>
      </c>
      <c r="CO19" s="39">
        <f>Grunddaten7[[#This Row],[Sitze im Hauptorgan]]/_xlfn.NUMBERVALUE(MID(INDEX(TabDH12[[#Headers],[:1]:[:19]],COLUMN()-COLUMN(TabDH12[[#Headers],[:1]])+1),2,3))</f>
        <v>0</v>
      </c>
      <c r="CP19" s="39">
        <f>Grunddaten7[[#This Row],[Sitze im Hauptorgan]]/_xlfn.NUMBERVALUE(MID(INDEX(TabDH12[[#Headers],[:1]:[:19]],COLUMN()-COLUMN(TabDH12[[#Headers],[:1]])+1),2,3))</f>
        <v>0</v>
      </c>
      <c r="CQ19" s="39">
        <f>Grunddaten7[[#This Row],[Sitze im Hauptorgan]]/_xlfn.NUMBERVALUE(MID(INDEX(TabDH12[[#Headers],[:1]:[:19]],COLUMN()-COLUMN(TabDH12[[#Headers],[:1]])+1),2,3))</f>
        <v>0</v>
      </c>
      <c r="CR19" s="39">
        <f>Grunddaten7[[#This Row],[Sitze im Hauptorgan]]/_xlfn.NUMBERVALUE(MID(INDEX(TabDH12[[#Headers],[:1]:[:19]],COLUMN()-COLUMN(TabDH12[[#Headers],[:1]])+1),2,3))</f>
        <v>0</v>
      </c>
      <c r="CS19" s="39">
        <f>Grunddaten7[[#This Row],[Sitze im Hauptorgan]]/_xlfn.NUMBERVALUE(MID(INDEX(TabDH12[[#Headers],[:1]:[:19]],COLUMN()-COLUMN(TabDH12[[#Headers],[:1]])+1),2,3))</f>
        <v>0</v>
      </c>
      <c r="CT19" s="39">
        <f>Grunddaten7[[#This Row],[Sitze im Hauptorgan]]/_xlfn.NUMBERVALUE(MID(INDEX(TabDH12[[#Headers],[:1]:[:19]],COLUMN()-COLUMN(TabDH12[[#Headers],[:1]])+1),2,3))</f>
        <v>0</v>
      </c>
      <c r="CU19" s="39">
        <f>Grunddaten7[[#This Row],[Sitze im Hauptorgan]]/_xlfn.NUMBERVALUE(MID(INDEX(TabDH12[[#Headers],[:1]:[:19]],COLUMN()-COLUMN(TabDH12[[#Headers],[:1]])+1),2,3))</f>
        <v>0</v>
      </c>
      <c r="CV19" s="39">
        <f>Grunddaten7[[#This Row],[Sitze im Hauptorgan]]/_xlfn.NUMBERVALUE(MID(INDEX(TabDH12[[#Headers],[:1]:[:19]],COLUMN()-COLUMN(TabDH12[[#Headers],[:1]])+1),2,3))</f>
        <v>0</v>
      </c>
      <c r="CW19" s="39">
        <f>Grunddaten7[[#This Row],[Sitze im Hauptorgan]]/_xlfn.NUMBERVALUE(MID(INDEX(TabDH12[[#Headers],[:1]:[:19]],COLUMN()-COLUMN(TabDH12[[#Headers],[:1]])+1),2,3))</f>
        <v>0</v>
      </c>
      <c r="CX19" s="39">
        <f>Grunddaten7[[#This Row],[Sitze im Hauptorgan]]/_xlfn.NUMBERVALUE(MID(INDEX(TabDH12[[#Headers],[:1]:[:19]],COLUMN()-COLUMN(TabDH12[[#Headers],[:1]])+1),2,3))</f>
        <v>0</v>
      </c>
      <c r="CY19" s="39">
        <f>Grunddaten7[[#This Row],[Sitze im Hauptorgan]]/_xlfn.NUMBERVALUE(MID(INDEX(TabDH12[[#Headers],[:1]:[:19]],COLUMN()-COLUMN(TabDH12[[#Headers],[:1]])+1),2,3))</f>
        <v>0</v>
      </c>
      <c r="CZ19" s="39">
        <f>Grunddaten7[[#This Row],[Sitze im Hauptorgan]]/_xlfn.NUMBERVALUE(MID(INDEX(TabDH12[[#Headers],[:1]:[:19]],COLUMN()-COLUMN(TabDH12[[#Headers],[:1]])+1),2,3))</f>
        <v>0</v>
      </c>
      <c r="DA19" s="39">
        <f>Grunddaten7[[#This Row],[Sitze im Hauptorgan]]/_xlfn.NUMBERVALUE(MID(INDEX(TabDH12[[#Headers],[:1]:[:19]],COLUMN()-COLUMN(TabDH12[[#Headers],[:1]])+1),2,3))</f>
        <v>0</v>
      </c>
      <c r="DB19" s="39">
        <f>Grunddaten7[[#This Row],[Sitze im Hauptorgan]]/_xlfn.NUMBERVALUE(MID(INDEX(TabDH12[[#Headers],[:1]:[:19]],COLUMN()-COLUMN(TabDH12[[#Headers],[:1]])+1),2,3))</f>
        <v>0</v>
      </c>
      <c r="DC19" s="39">
        <f>Grunddaten7[[#This Row],[Sitze im Hauptorgan]]/_xlfn.NUMBERVALUE(MID(INDEX(TabDH12[[#Headers],[:1]:[:19]],COLUMN()-COLUMN(TabDH12[[#Headers],[:1]])+1),2,3))</f>
        <v>0</v>
      </c>
      <c r="DD19" s="39">
        <f>Grunddaten7[[#This Row],[Sitze im Hauptorgan]]/_xlfn.NUMBERVALUE(MID(INDEX(TabDH12[[#Headers],[:1]:[:19]],COLUMN()-COLUMN(TabDH12[[#Headers],[:1]])+1),2,3))</f>
        <v>0</v>
      </c>
      <c r="DE19" s="40">
        <f>Grunddaten7[[#This Row],[Sitze im Hauptorgan]]/_xlfn.NUMBERVALUE(MID(INDEX(TabDH12[[#Headers],[:1]:[:19]],COLUMN()-COLUMN(TabDH12[[#Headers],[:1]])+1),2,3))</f>
        <v>0</v>
      </c>
      <c r="DF19" s="41">
        <f>_xlfn.RANK.EQ(TabDH12[[#This Row],[:1]],TabDH12[[:1]:[:19]],0)</f>
        <v>134</v>
      </c>
      <c r="DG19" s="42">
        <f>_xlfn.RANK.EQ(TabDH12[[#This Row],[:2]],TabDH12[[:1]:[:19]],0)</f>
        <v>134</v>
      </c>
      <c r="DH19" s="42">
        <f>_xlfn.RANK.EQ(TabDH12[[#This Row],[:3]],TabDH12[[:1]:[:19]],0)</f>
        <v>134</v>
      </c>
      <c r="DI19" s="42">
        <f>_xlfn.RANK.EQ(TabDH12[[#This Row],[:4]],TabDH12[[:1]:[:19]],0)</f>
        <v>134</v>
      </c>
      <c r="DJ19" s="42">
        <f>_xlfn.RANK.EQ(TabDH12[[#This Row],[:5]],TabDH12[[:1]:[:19]],0)</f>
        <v>134</v>
      </c>
      <c r="DK19" s="42">
        <f>_xlfn.RANK.EQ(TabDH12[[#This Row],[:6]],TabDH12[[:1]:[:19]],0)</f>
        <v>134</v>
      </c>
      <c r="DL19" s="42">
        <f>_xlfn.RANK.EQ(TabDH12[[#This Row],[:7]],TabDH12[[:1]:[:19]],0)</f>
        <v>134</v>
      </c>
      <c r="DM19" s="42">
        <f>_xlfn.RANK.EQ(TabDH12[[#This Row],[:8]],TabDH12[[:1]:[:19]],0)</f>
        <v>134</v>
      </c>
      <c r="DN19" s="42">
        <f>_xlfn.RANK.EQ(TabDH12[[#This Row],[:9]],TabDH12[[:1]:[:19]],0)</f>
        <v>134</v>
      </c>
      <c r="DO19" s="42">
        <f>_xlfn.RANK.EQ(TabDH12[[#This Row],[:10]],TabDH12[[:1]:[:19]],0)</f>
        <v>134</v>
      </c>
      <c r="DP19" s="42">
        <f>_xlfn.RANK.EQ(TabDH12[[#This Row],[:11]],TabDH12[[:1]:[:19]],0)</f>
        <v>134</v>
      </c>
      <c r="DQ19" s="42">
        <f>_xlfn.RANK.EQ(TabDH12[[#This Row],[:12]],TabDH12[[:1]:[:19]],0)</f>
        <v>134</v>
      </c>
      <c r="DR19" s="42">
        <f>_xlfn.RANK.EQ(TabDH12[[#This Row],[:13]],TabDH12[[:1]:[:19]],0)</f>
        <v>134</v>
      </c>
      <c r="DS19" s="42">
        <f>_xlfn.RANK.EQ(TabDH12[[#This Row],[:14]],TabDH12[[:1]:[:19]],0)</f>
        <v>134</v>
      </c>
      <c r="DT19" s="42">
        <f>_xlfn.RANK.EQ(TabDH12[[#This Row],[:15]],TabDH12[[:1]:[:19]],0)</f>
        <v>134</v>
      </c>
      <c r="DU19" s="42">
        <f>_xlfn.RANK.EQ(TabDH12[[#This Row],[:16]],TabDH12[[:1]:[:19]],0)</f>
        <v>134</v>
      </c>
      <c r="DV19" s="42">
        <f>_xlfn.RANK.EQ(TabDH12[[#This Row],[:17]],TabDH12[[:1]:[:19]],0)</f>
        <v>134</v>
      </c>
      <c r="DW19" s="42">
        <f>_xlfn.RANK.EQ(TabDH12[[#This Row],[:18]],TabDH12[[:1]:[:19]],0)</f>
        <v>134</v>
      </c>
      <c r="DX19" s="43">
        <f>_xlfn.RANK.EQ(TabDH12[[#This Row],[:19]],TabDH12[[:1]:[:19]],0)</f>
        <v>134</v>
      </c>
      <c r="DY19" s="44" t="str">
        <f>IF(TabDH12[[#This Row],[R1]]&lt;=Sitze_Ausschuss,IF(TabDH12[[#This Row],[R1]]+COUNTIF(TabDH12[[R1]:[R19]],TabDH12[[#This Row],[R1]])-1&lt;=Sitze_Ausschuss,"SITZ","PATT"),"")</f>
        <v/>
      </c>
      <c r="DZ19" s="45" t="str">
        <f>IF(TabDH12[[#This Row],[R2]]&lt;=Sitze_Ausschuss,IF(TabDH12[[#This Row],[R2]]+COUNTIF(TabDH12[[R1]:[R19]],TabDH12[[#This Row],[R2]])-1&lt;=Sitze_Ausschuss,"SITZ","PATT"),"")</f>
        <v/>
      </c>
      <c r="EA19" s="45" t="str">
        <f>IF(TabDH12[[#This Row],[R3]]&lt;=Sitze_Ausschuss,IF(TabDH12[[#This Row],[R3]]+COUNTIF(TabDH12[[R1]:[R19]],TabDH12[[#This Row],[R3]])-1&lt;=Sitze_Ausschuss,"SITZ","PATT"),"")</f>
        <v/>
      </c>
      <c r="EB19" s="45" t="str">
        <f>IF(TabDH12[[#This Row],[R4]]&lt;=Sitze_Ausschuss,IF(TabDH12[[#This Row],[R4]]+COUNTIF(TabDH12[[R1]:[R19]],TabDH12[[#This Row],[R4]])-1&lt;=Sitze_Ausschuss,"SITZ","PATT"),"")</f>
        <v/>
      </c>
      <c r="EC19" s="45" t="str">
        <f>IF(TabDH12[[#This Row],[R5]]&lt;=Sitze_Ausschuss,IF(TabDH12[[#This Row],[R5]]+COUNTIF(TabDH12[[R1]:[R19]],TabDH12[[#This Row],[R5]])-1&lt;=Sitze_Ausschuss,"SITZ","PATT"),"")</f>
        <v/>
      </c>
      <c r="ED19" s="45" t="str">
        <f>IF(TabDH12[[#This Row],[R6]]&lt;=Sitze_Ausschuss,IF(TabDH12[[#This Row],[R6]]+COUNTIF(TabDH12[[R1]:[R19]],TabDH12[[#This Row],[R6]])-1&lt;=Sitze_Ausschuss,"SITZ","PATT"),"")</f>
        <v/>
      </c>
      <c r="EE19" s="45" t="str">
        <f>IF(TabDH12[[#This Row],[R7]]&lt;=Sitze_Ausschuss,IF(TabDH12[[#This Row],[R7]]+COUNTIF(TabDH12[[R1]:[R19]],TabDH12[[#This Row],[R7]])-1&lt;=Sitze_Ausschuss,"SITZ","PATT"),"")</f>
        <v/>
      </c>
      <c r="EF19" s="45" t="str">
        <f>IF(TabDH12[[#This Row],[R8]]&lt;=Sitze_Ausschuss,IF(TabDH12[[#This Row],[R8]]+COUNTIF(TabDH12[[R1]:[R19]],TabDH12[[#This Row],[R8]])-1&lt;=Sitze_Ausschuss,"SITZ","PATT"),"")</f>
        <v/>
      </c>
      <c r="EG19" s="45" t="str">
        <f>IF(TabDH12[[#This Row],[R9]]&lt;=Sitze_Ausschuss,IF(TabDH12[[#This Row],[R9]]+COUNTIF(TabDH12[[R1]:[R19]],TabDH12[[#This Row],[R9]])-1&lt;=Sitze_Ausschuss,"SITZ","PATT"),"")</f>
        <v/>
      </c>
      <c r="EH19" s="45" t="str">
        <f>IF(TabDH12[[#This Row],[R10]]&lt;=Sitze_Ausschuss,IF(TabDH12[[#This Row],[R10]]+COUNTIF(TabDH12[[R1]:[R19]],TabDH12[[#This Row],[R10]])-1&lt;=Sitze_Ausschuss,"SITZ","PATT"),"")</f>
        <v/>
      </c>
      <c r="EI19" s="45" t="str">
        <f>IF(TabDH12[[#This Row],[R11]]&lt;=Sitze_Ausschuss,IF(TabDH12[[#This Row],[R11]]+COUNTIF(TabDH12[[R1]:[R19]],TabDH12[[#This Row],[R11]])-1&lt;=Sitze_Ausschuss,"SITZ","PATT"),"")</f>
        <v/>
      </c>
      <c r="EJ19" s="45" t="str">
        <f>IF(TabDH12[[#This Row],[R12]]&lt;=Sitze_Ausschuss,IF(TabDH12[[#This Row],[R12]]+COUNTIF(TabDH12[[R1]:[R19]],TabDH12[[#This Row],[R12]])-1&lt;=Sitze_Ausschuss,"SITZ","PATT"),"")</f>
        <v/>
      </c>
      <c r="EK19" s="45" t="str">
        <f>IF(TabDH12[[#This Row],[R13]]&lt;=Sitze_Ausschuss,IF(TabDH12[[#This Row],[R13]]+COUNTIF(TabDH12[[R1]:[R19]],TabDH12[[#This Row],[R13]])-1&lt;=Sitze_Ausschuss,"SITZ","PATT"),"")</f>
        <v/>
      </c>
      <c r="EL19" s="45" t="str">
        <f>IF(TabDH12[[#This Row],[R14]]&lt;=Sitze_Ausschuss,IF(TabDH12[[#This Row],[R14]]+COUNTIF(TabDH12[[R1]:[R19]],TabDH12[[#This Row],[R14]])-1&lt;=Sitze_Ausschuss,"SITZ","PATT"),"")</f>
        <v/>
      </c>
      <c r="EM19" s="45" t="str">
        <f>IF(TabDH12[[#This Row],[R15]]&lt;=Sitze_Ausschuss,IF(TabDH12[[#This Row],[R15]]+COUNTIF(TabDH12[[R1]:[R19]],TabDH12[[#This Row],[R15]])-1&lt;=Sitze_Ausschuss,"SITZ","PATT"),"")</f>
        <v/>
      </c>
      <c r="EN19" s="45" t="str">
        <f>IF(TabDH12[[#This Row],[R16]]&lt;=Sitze_Ausschuss,IF(TabDH12[[#This Row],[R16]]+COUNTIF(TabDH12[[R1]:[R19]],TabDH12[[#This Row],[R16]])-1&lt;=Sitze_Ausschuss,"SITZ","PATT"),"")</f>
        <v/>
      </c>
      <c r="EO19" s="45" t="str">
        <f>IF(TabDH12[[#This Row],[R17]]&lt;=Sitze_Ausschuss,IF(TabDH12[[#This Row],[R17]]+COUNTIF(TabDH12[[R1]:[R19]],TabDH12[[#This Row],[R17]])-1&lt;=Sitze_Ausschuss,"SITZ","PATT"),"")</f>
        <v/>
      </c>
      <c r="EP19" s="45" t="str">
        <f>IF(TabDH12[[#This Row],[R18]]&lt;=Sitze_Ausschuss,IF(TabDH12[[#This Row],[R18]]+COUNTIF(TabDH12[[R1]:[R19]],TabDH12[[#This Row],[R18]])-1&lt;=Sitze_Ausschuss,"SITZ","PATT"),"")</f>
        <v/>
      </c>
      <c r="EQ19" s="45" t="str">
        <f>IF(TabDH12[[#This Row],[R19]]&lt;=Sitze_Ausschuss,IF(TabDH12[[#This Row],[R19]]+COUNTIF(TabDH12[[R1]:[R19]],TabDH12[[#This Row],[R19]])-1&lt;=Sitze_Ausschuss,"SITZ","PATT"),"")</f>
        <v/>
      </c>
      <c r="ER19" s="47" t="b">
        <f>COUNTIF(TabDH12[[#This Row],[SP1]:[SP19]],"PATT")&gt;0</f>
        <v>0</v>
      </c>
      <c r="ES19" s="33">
        <f>IF(TabDH12[[#This Row],[Patt]],(Sitze_Ausschuss-SUM(TabDH12[Sitze]))/TabDH12[[#Totals],[Patt]],0)</f>
        <v>0</v>
      </c>
      <c r="ET19" s="48">
        <f>TabDH12[[#This Row],[Patt]]*IF(Pattaufloesung="Stimmen",TabPatt11[[#This Row],[Stimmen]],0)*1</f>
        <v>0</v>
      </c>
      <c r="EU19" s="49" t="b">
        <f>_xlfn.RANK.EQ(TabDH12[[#This Row],[Stimmen/Gelost]],TabDH12[Stimmen/Gelost],0)&lt;=(Sitze_Ausschuss-SUM(TabDH12[Sitze]))</f>
        <v>1</v>
      </c>
      <c r="EV19" s="50" t="b">
        <f>OR(TabDH12[[#This Row],[Sitze]]&lt;ROUNDDOWN(Grunddaten7[[#This Row],[Proporzgenaue Zahl Ausschuss]],0),TabDH12[[#This Row],[Sitze]]+(TabDH12[[#This Row],[Patt]]*1)&gt;ROUNDUP(Grunddaten7[[#This Row],[Proporzgenaue Zahl Ausschuss]],0))</f>
        <v>0</v>
      </c>
      <c r="EW19" s="3"/>
      <c r="EX19" s="51" t="str">
        <f>Grunddaten7[[#This Row],[Partei/Wählergruppe]]&amp;""</f>
        <v/>
      </c>
      <c r="EY19" s="51">
        <f t="shared" si="6"/>
        <v>0</v>
      </c>
      <c r="EZ19" s="3"/>
      <c r="FA19" s="3"/>
      <c r="FB19" s="3"/>
      <c r="FC19" s="3"/>
      <c r="FD19" s="3"/>
    </row>
    <row r="20" spans="1:160" x14ac:dyDescent="0.25">
      <c r="A20" s="3"/>
      <c r="B20" s="90" t="str">
        <f t="shared" si="0"/>
        <v/>
      </c>
      <c r="C20" s="91">
        <f t="shared" si="1"/>
        <v>0</v>
      </c>
      <c r="D20" s="168">
        <f>Grunddaten7[[#This Row],[Sitze im Hauptorgan]]/Grunddaten7[[#Totals],[Sitze im Hauptorgan]]*Sitze_Ausschuss</f>
        <v>0</v>
      </c>
      <c r="E20" s="159">
        <f>IF(ROUNDDOWN(Grunddaten7[[#This Row],[Proporzgenaue Zahl Ausschuss]],0)&lt;&gt;ROUNDUP(Grunddaten7[[#This Row],[Proporzgenaue Zahl Ausschuss]],0), ROUNDDOWN(Grunddaten7[[#This Row],[Proporzgenaue Zahl Ausschuss]],0)&amp;" oder "&amp;ROUNDUP(Grunddaten7[[#This Row],[Proporzgenaue Zahl Ausschuss]],0),ROUND(Grunddaten7[[#This Row],[Proporzgenaue Zahl Ausschuss]],0))</f>
        <v>0</v>
      </c>
      <c r="F20" s="52" t="str">
        <f t="shared" si="2"/>
        <v>OK</v>
      </c>
      <c r="G20" s="52" t="str">
        <f>IF(TabSLS10[[#This Row],[QK verletzt]],"NOK","OK")</f>
        <v>OK</v>
      </c>
      <c r="H20" s="53" t="str">
        <f>IF(TabDH12[[#This Row],[QK verletzt]],"NOK","OK")</f>
        <v>OK</v>
      </c>
      <c r="I20" s="163">
        <f t="shared" si="3"/>
        <v>0</v>
      </c>
      <c r="J20" s="163">
        <f t="shared" si="4"/>
        <v>0</v>
      </c>
      <c r="K20" s="163">
        <f t="shared" si="5"/>
        <v>0</v>
      </c>
      <c r="L20" s="57"/>
      <c r="M20" s="92">
        <f>TabHN9[[#This Row],[S ganz]]+IF(NOT(TabHN9[[#This Row],[Patt]]),TabHN9[[#This Row],[Restsitz]],0)</f>
        <v>0</v>
      </c>
      <c r="N20" s="162">
        <f>IF(TabHN9[[#This Row],[Patt]],IF(Pattaufloesung="Los-Chance",TabHN9[[#This Row],[Los Chance]],TabHN9[[#This Row],[Pattgewinn]]+0),0)</f>
        <v>0</v>
      </c>
      <c r="O20" s="30">
        <f>INT(Grunddaten7[[#This Row],[Proporzgenaue Zahl Ausschuss]])</f>
        <v>0</v>
      </c>
      <c r="P20" s="31">
        <f>ROUND(Grunddaten7[[#This Row],[Proporzgenaue Zahl Ausschuss]]-TabHN9[[#This Row],[S ganz]],4)</f>
        <v>0</v>
      </c>
      <c r="Q20" s="32">
        <f>_xlfn.RANK.EQ(TabHN9[[#This Row],[S Rest]],TabHN9[S Rest],0)</f>
        <v>5</v>
      </c>
      <c r="R20" s="30">
        <f>IF(TabHN9[[#This Row],[Rng Rest]]&lt;=TabHN9[[#Totals],[S Rest]],1,0)</f>
        <v>0</v>
      </c>
      <c r="S20" s="30" t="b">
        <f>AND(TabHN9[[#This Row],[Restsitz]]=1,(COUNTIF(TabHN9[Rng Rest],TabHN9[[#This Row],[Rng Rest]])+TabHN9[[#This Row],[Rng Rest]]-1)&gt;TabHN9[[#Totals],[S Rest]])</f>
        <v>0</v>
      </c>
      <c r="T20" s="33">
        <f>IF(TabHN9[[#This Row],[Patt]],(Sitze_Ausschuss-SUM(TabHN9[Sitze]))/TabHN9[[#Totals],[Patt]],0)</f>
        <v>0</v>
      </c>
      <c r="U20" s="34">
        <f>TabHN9[[#This Row],[Patt]]*IF(Pattaufloesung="Stimmen",TabPatt11[[#This Row],[Stimmen]],0)*1</f>
        <v>0</v>
      </c>
      <c r="V20" s="35" t="b">
        <f>_xlfn.RANK.EQ(TabHN9[[#This Row],[Stimmen/Gelost]],TabHN9[Stimmen/Gelost],0)&lt;=(Sitze_Ausschuss-SUM(TabHN9[Sitze]))</f>
        <v>0</v>
      </c>
      <c r="W20" s="57"/>
      <c r="X20" s="36">
        <f>COUNTIF(TabSLS10[[#This Row],[SP1]:[SP37]],"SITZ")</f>
        <v>0</v>
      </c>
      <c r="Y20" s="37">
        <f>IF(TabSLS10[[#This Row],[Patt?]],IF(Pattaufloesung="Los-Chance",TabSLS10[[#This Row],[Los Chance]],TabSLS10[[#This Row],[Pattgewinn]]+0),0)</f>
        <v>0</v>
      </c>
      <c r="Z20" s="38">
        <f>Grunddaten7[[#This Row],[Sitze im Hauptorgan]]/_xlfn.NUMBERVALUE(MID(INDEX(TabSLS10[[#Headers],[:1]:[:37]],COLUMN()-COLUMN(TabSLS10[[#Headers],[:1]])+1),2,3))</f>
        <v>0</v>
      </c>
      <c r="AA20" s="39">
        <f>Grunddaten7[[#This Row],[Sitze im Hauptorgan]]/_xlfn.NUMBERVALUE(MID(INDEX(TabSLS10[[#Headers],[:1]:[:37]],COLUMN()-COLUMN(TabSLS10[[#Headers],[:1]])+1),2,3))</f>
        <v>0</v>
      </c>
      <c r="AB20" s="39">
        <f>Grunddaten7[[#This Row],[Sitze im Hauptorgan]]/_xlfn.NUMBERVALUE(MID(INDEX(TabSLS10[[#Headers],[:1]:[:37]],COLUMN()-COLUMN(TabSLS10[[#Headers],[:1]])+1),2,3))</f>
        <v>0</v>
      </c>
      <c r="AC20" s="39">
        <f>Grunddaten7[[#This Row],[Sitze im Hauptorgan]]/_xlfn.NUMBERVALUE(MID(INDEX(TabSLS10[[#Headers],[:1]:[:37]],COLUMN()-COLUMN(TabSLS10[[#Headers],[:1]])+1),2,3))</f>
        <v>0</v>
      </c>
      <c r="AD20" s="39">
        <f>Grunddaten7[[#This Row],[Sitze im Hauptorgan]]/_xlfn.NUMBERVALUE(MID(INDEX(TabSLS10[[#Headers],[:1]:[:37]],COLUMN()-COLUMN(TabSLS10[[#Headers],[:1]])+1),2,3))</f>
        <v>0</v>
      </c>
      <c r="AE20" s="39">
        <f>Grunddaten7[[#This Row],[Sitze im Hauptorgan]]/_xlfn.NUMBERVALUE(MID(INDEX(TabSLS10[[#Headers],[:1]:[:37]],COLUMN()-COLUMN(TabSLS10[[#Headers],[:1]])+1),2,3))</f>
        <v>0</v>
      </c>
      <c r="AF20" s="39">
        <f>Grunddaten7[[#This Row],[Sitze im Hauptorgan]]/_xlfn.NUMBERVALUE(MID(INDEX(TabSLS10[[#Headers],[:1]:[:37]],COLUMN()-COLUMN(TabSLS10[[#Headers],[:1]])+1),2,3))</f>
        <v>0</v>
      </c>
      <c r="AG20" s="39">
        <f>Grunddaten7[[#This Row],[Sitze im Hauptorgan]]/_xlfn.NUMBERVALUE(MID(INDEX(TabSLS10[[#Headers],[:1]:[:37]],COLUMN()-COLUMN(TabSLS10[[#Headers],[:1]])+1),2,3))</f>
        <v>0</v>
      </c>
      <c r="AH20" s="39">
        <f>Grunddaten7[[#This Row],[Sitze im Hauptorgan]]/_xlfn.NUMBERVALUE(MID(INDEX(TabSLS10[[#Headers],[:1]:[:37]],COLUMN()-COLUMN(TabSLS10[[#Headers],[:1]])+1),2,3))</f>
        <v>0</v>
      </c>
      <c r="AI20" s="39">
        <f>Grunddaten7[[#This Row],[Sitze im Hauptorgan]]/_xlfn.NUMBERVALUE(MID(INDEX(TabSLS10[[#Headers],[:1]:[:37]],COLUMN()-COLUMN(TabSLS10[[#Headers],[:1]])+1),2,3))</f>
        <v>0</v>
      </c>
      <c r="AJ20" s="39">
        <f>Grunddaten7[[#This Row],[Sitze im Hauptorgan]]/_xlfn.NUMBERVALUE(MID(INDEX(TabSLS10[[#Headers],[:1]:[:37]],COLUMN()-COLUMN(TabSLS10[[#Headers],[:1]])+1),2,3))</f>
        <v>0</v>
      </c>
      <c r="AK20" s="39">
        <f>Grunddaten7[[#This Row],[Sitze im Hauptorgan]]/_xlfn.NUMBERVALUE(MID(INDEX(TabSLS10[[#Headers],[:1]:[:37]],COLUMN()-COLUMN(TabSLS10[[#Headers],[:1]])+1),2,3))</f>
        <v>0</v>
      </c>
      <c r="AL20" s="39">
        <f>Grunddaten7[[#This Row],[Sitze im Hauptorgan]]/_xlfn.NUMBERVALUE(MID(INDEX(TabSLS10[[#Headers],[:1]:[:37]],COLUMN()-COLUMN(TabSLS10[[#Headers],[:1]])+1),2,3))</f>
        <v>0</v>
      </c>
      <c r="AM20" s="39">
        <f>Grunddaten7[[#This Row],[Sitze im Hauptorgan]]/_xlfn.NUMBERVALUE(MID(INDEX(TabSLS10[[#Headers],[:1]:[:37]],COLUMN()-COLUMN(TabSLS10[[#Headers],[:1]])+1),2,3))</f>
        <v>0</v>
      </c>
      <c r="AN20" s="39">
        <f>Grunddaten7[[#This Row],[Sitze im Hauptorgan]]/_xlfn.NUMBERVALUE(MID(INDEX(TabSLS10[[#Headers],[:1]:[:37]],COLUMN()-COLUMN(TabSLS10[[#Headers],[:1]])+1),2,3))</f>
        <v>0</v>
      </c>
      <c r="AO20" s="39">
        <f>Grunddaten7[[#This Row],[Sitze im Hauptorgan]]/_xlfn.NUMBERVALUE(MID(INDEX(TabSLS10[[#Headers],[:1]:[:37]],COLUMN()-COLUMN(TabSLS10[[#Headers],[:1]])+1),2,3))</f>
        <v>0</v>
      </c>
      <c r="AP20" s="39">
        <f>Grunddaten7[[#This Row],[Sitze im Hauptorgan]]/_xlfn.NUMBERVALUE(MID(INDEX(TabSLS10[[#Headers],[:1]:[:37]],COLUMN()-COLUMN(TabSLS10[[#Headers],[:1]])+1),2,3))</f>
        <v>0</v>
      </c>
      <c r="AQ20" s="39">
        <f>Grunddaten7[[#This Row],[Sitze im Hauptorgan]]/_xlfn.NUMBERVALUE(MID(INDEX(TabSLS10[[#Headers],[:1]:[:37]],COLUMN()-COLUMN(TabSLS10[[#Headers],[:1]])+1),2,3))</f>
        <v>0</v>
      </c>
      <c r="AR20" s="40">
        <f>Grunddaten7[[#This Row],[Sitze im Hauptorgan]]/_xlfn.NUMBERVALUE(MID(INDEX(TabSLS10[[#Headers],[:1]:[:37]],COLUMN()-COLUMN(TabSLS10[[#Headers],[:1]])+1),2,3))</f>
        <v>0</v>
      </c>
      <c r="AS20" s="41">
        <f>_xlfn.RANK.EQ(TabSLS10[[#This Row],[:1]],TabSLS10[[:1]:[:37]],0)</f>
        <v>134</v>
      </c>
      <c r="AT20" s="42">
        <f>_xlfn.RANK.EQ(TabSLS10[[#This Row],[:3]],TabSLS10[[:1]:[:37]],0)</f>
        <v>134</v>
      </c>
      <c r="AU20" s="42">
        <f>_xlfn.RANK.EQ(TabSLS10[[#This Row],[:5]],TabSLS10[[:1]:[:37]],0)</f>
        <v>134</v>
      </c>
      <c r="AV20" s="42">
        <f>_xlfn.RANK.EQ(TabSLS10[[#This Row],[:7]],TabSLS10[[:1]:[:37]],0)</f>
        <v>134</v>
      </c>
      <c r="AW20" s="42">
        <f>_xlfn.RANK.EQ(TabSLS10[[#This Row],[:9]],TabSLS10[[:1]:[:37]],0)</f>
        <v>134</v>
      </c>
      <c r="AX20" s="42">
        <f>_xlfn.RANK.EQ(TabSLS10[[#This Row],[:11]],TabSLS10[[:1]:[:37]],0)</f>
        <v>134</v>
      </c>
      <c r="AY20" s="42">
        <f>_xlfn.RANK.EQ(TabSLS10[[#This Row],[:13]],TabSLS10[[:1]:[:37]],0)</f>
        <v>134</v>
      </c>
      <c r="AZ20" s="42">
        <f>_xlfn.RANK.EQ(TabSLS10[[#This Row],[:15]],TabSLS10[[:1]:[:37]],0)</f>
        <v>134</v>
      </c>
      <c r="BA20" s="42">
        <f>_xlfn.RANK.EQ(TabSLS10[[#This Row],[:17]],TabSLS10[[:1]:[:37]],0)</f>
        <v>134</v>
      </c>
      <c r="BB20" s="42">
        <f>_xlfn.RANK.EQ(TabSLS10[[#This Row],[:19]],TabSLS10[[:1]:[:37]],0)</f>
        <v>134</v>
      </c>
      <c r="BC20" s="42">
        <f>_xlfn.RANK.EQ(TabSLS10[[#This Row],[:21]],TabSLS10[[:1]:[:37]],0)</f>
        <v>134</v>
      </c>
      <c r="BD20" s="42">
        <f>_xlfn.RANK.EQ(TabSLS10[[#This Row],[:23]],TabSLS10[[:1]:[:37]],0)</f>
        <v>134</v>
      </c>
      <c r="BE20" s="42">
        <f>_xlfn.RANK.EQ(TabSLS10[[#This Row],[:25]],TabSLS10[[:1]:[:37]],0)</f>
        <v>134</v>
      </c>
      <c r="BF20" s="42">
        <f>_xlfn.RANK.EQ(TabSLS10[[#This Row],[:27]],TabSLS10[[:1]:[:37]],0)</f>
        <v>134</v>
      </c>
      <c r="BG20" s="42">
        <f>_xlfn.RANK.EQ(TabSLS10[[#This Row],[:29]],TabSLS10[[:1]:[:37]],0)</f>
        <v>134</v>
      </c>
      <c r="BH20" s="42">
        <f>_xlfn.RANK.EQ(TabSLS10[[#This Row],[:31]],TabSLS10[[:1]:[:37]],0)</f>
        <v>134</v>
      </c>
      <c r="BI20" s="42">
        <f>_xlfn.RANK.EQ(TabSLS10[[#This Row],[:33]],TabSLS10[[:1]:[:37]],0)</f>
        <v>134</v>
      </c>
      <c r="BJ20" s="42">
        <f>_xlfn.RANK.EQ(TabSLS10[[#This Row],[:35]],TabSLS10[[:1]:[:37]],0)</f>
        <v>134</v>
      </c>
      <c r="BK20" s="43">
        <f>_xlfn.RANK.EQ(TabSLS10[[#This Row],[:37]],TabSLS10[[:1]:[:37]],0)</f>
        <v>134</v>
      </c>
      <c r="BL20" s="44" t="str">
        <f>IF(TabSLS10[[#This Row],[R1]]&lt;=Sitze_Ausschuss,IF(TabSLS10[[#This Row],[R1]]+COUNTIF(TabSLS10[[R1]:[R37]],TabSLS10[[#This Row],[R1]])-1&lt;=Sitze_Ausschuss,"SITZ","PATT"),"")</f>
        <v/>
      </c>
      <c r="BM20" s="45" t="str">
        <f>IF(TabSLS10[[#This Row],[R3]]&lt;=Sitze_Ausschuss,IF(TabSLS10[[#This Row],[R3]]+COUNTIF(TabSLS10[[R1]:[R37]],TabSLS10[[#This Row],[R3]])-1&lt;=Sitze_Ausschuss,"SITZ","PATT"),"")</f>
        <v/>
      </c>
      <c r="BN20" s="45" t="str">
        <f>IF(TabSLS10[[#This Row],[R5]]&lt;=Sitze_Ausschuss,IF(TabSLS10[[#This Row],[R5]]+COUNTIF(TabSLS10[[R1]:[R37]],TabSLS10[[#This Row],[R5]])-1&lt;=Sitze_Ausschuss,"SITZ","PATT"),"")</f>
        <v/>
      </c>
      <c r="BO20" s="45" t="str">
        <f>IF(TabSLS10[[#This Row],[R7]]&lt;=Sitze_Ausschuss,IF(TabSLS10[[#This Row],[R7]]+COUNTIF(TabSLS10[[R1]:[R37]],TabSLS10[[#This Row],[R7]])-1&lt;=Sitze_Ausschuss,"SITZ","PATT"),"")</f>
        <v/>
      </c>
      <c r="BP20" s="45" t="str">
        <f>IF(TabSLS10[[#This Row],[R9]]&lt;=Sitze_Ausschuss,IF(TabSLS10[[#This Row],[R9]]+COUNTIF(TabSLS10[[R1]:[R37]],TabSLS10[[#This Row],[R9]])-1&lt;=Sitze_Ausschuss,"SITZ","PATT"),"")</f>
        <v/>
      </c>
      <c r="BQ20" s="45" t="str">
        <f>IF(TabSLS10[[#This Row],[R11]]&lt;=Sitze_Ausschuss,IF(TabSLS10[[#This Row],[R11]]+COUNTIF(TabSLS10[[R1]:[R37]],TabSLS10[[#This Row],[R11]])-1&lt;=Sitze_Ausschuss,"SITZ","PATT"),"")</f>
        <v/>
      </c>
      <c r="BR20" s="45" t="str">
        <f>IF(TabSLS10[[#This Row],[R13]]&lt;=Sitze_Ausschuss,IF(TabSLS10[[#This Row],[R13]]+COUNTIF(TabSLS10[[R1]:[R37]],TabSLS10[[#This Row],[R13]])-1&lt;=Sitze_Ausschuss,"SITZ","PATT"),"")</f>
        <v/>
      </c>
      <c r="BS20" s="45" t="str">
        <f>IF(TabSLS10[[#This Row],[R15]]&lt;=Sitze_Ausschuss,IF(TabSLS10[[#This Row],[R15]]+COUNTIF(TabSLS10[[R1]:[R37]],TabSLS10[[#This Row],[R15]])-1&lt;=Sitze_Ausschuss,"SITZ","PATT"),"")</f>
        <v/>
      </c>
      <c r="BT20" s="45" t="str">
        <f>IF(TabSLS10[[#This Row],[R17]]&lt;=Sitze_Ausschuss,IF(TabSLS10[[#This Row],[R17]]+COUNTIF(TabSLS10[[R1]:[R37]],TabSLS10[[#This Row],[R17]])-1&lt;=Sitze_Ausschuss,"SITZ","PATT"),"")</f>
        <v/>
      </c>
      <c r="BU20" s="45" t="str">
        <f>IF(TabSLS10[[#This Row],[R19]]&lt;=Sitze_Ausschuss,IF(TabSLS10[[#This Row],[R19]]+COUNTIF(TabSLS10[[R1]:[R37]],TabSLS10[[#This Row],[R19]])-1&lt;=Sitze_Ausschuss,"SITZ","PATT"),"")</f>
        <v/>
      </c>
      <c r="BV20" s="45" t="str">
        <f>IF(TabSLS10[[#This Row],[R21]]&lt;=Sitze_Ausschuss,IF(TabSLS10[[#This Row],[R21]]+COUNTIF(TabSLS10[[R1]:[R37]],TabSLS10[[#This Row],[R21]])-1&lt;=Sitze_Ausschuss,"SITZ","PATT"),"")</f>
        <v/>
      </c>
      <c r="BW20" s="45" t="str">
        <f>IF(TabSLS10[[#This Row],[R23]]&lt;=Sitze_Ausschuss,IF(TabSLS10[[#This Row],[R23]]+COUNTIF(TabSLS10[[R1]:[R37]],TabSLS10[[#This Row],[R23]])-1&lt;=Sitze_Ausschuss,"SITZ","PATT"),"")</f>
        <v/>
      </c>
      <c r="BX20" s="45" t="str">
        <f>IF(TabSLS10[[#This Row],[R25]]&lt;=Sitze_Ausschuss,IF(TabSLS10[[#This Row],[R25]]+COUNTIF(TabSLS10[[R1]:[R37]],TabSLS10[[#This Row],[R25]])-1&lt;=Sitze_Ausschuss,"SITZ","PATT"),"")</f>
        <v/>
      </c>
      <c r="BY20" s="45" t="str">
        <f>IF(TabSLS10[[#This Row],[R27]]&lt;=Sitze_Ausschuss,IF(TabSLS10[[#This Row],[R27]]+COUNTIF(TabSLS10[[R1]:[R37]],TabSLS10[[#This Row],[R27]])-1&lt;=Sitze_Ausschuss,"SITZ","PATT"),"")</f>
        <v/>
      </c>
      <c r="BZ20" s="45" t="str">
        <f>IF(TabSLS10[[#This Row],[R29]]&lt;=Sitze_Ausschuss,IF(TabSLS10[[#This Row],[R29]]+COUNTIF(TabSLS10[[R1]:[R37]],TabSLS10[[#This Row],[R29]])-1&lt;=Sitze_Ausschuss,"SITZ","PATT"),"")</f>
        <v/>
      </c>
      <c r="CA20" s="45" t="str">
        <f>IF(TabSLS10[[#This Row],[R31]]&lt;=Sitze_Ausschuss,IF(TabSLS10[[#This Row],[R31]]+COUNTIF(TabSLS10[[R1]:[R37]],TabSLS10[[#This Row],[R31]])-1&lt;=Sitze_Ausschuss,"SITZ","PATT"),"")</f>
        <v/>
      </c>
      <c r="CB20" s="45" t="str">
        <f>IF(TabSLS10[[#This Row],[R33]]&lt;=Sitze_Ausschuss,IF(TabSLS10[[#This Row],[R33]]+COUNTIF(TabSLS10[[R1]:[R37]],TabSLS10[[#This Row],[R33]])-1&lt;=Sitze_Ausschuss,"SITZ","PATT"),"")</f>
        <v/>
      </c>
      <c r="CC20" s="45" t="str">
        <f>IF(TabSLS10[[#This Row],[R35]]&lt;=Sitze_Ausschuss,IF(TabSLS10[[#This Row],[R35]]+COUNTIF(TabSLS10[[R1]:[R37]],TabSLS10[[#This Row],[R35]])-1&lt;=Sitze_Ausschuss,"SITZ","PATT"),"")</f>
        <v/>
      </c>
      <c r="CD20" s="46" t="str">
        <f>IF(TabSLS10[[#This Row],[R37]]&lt;=Sitze_Ausschuss,IF(TabSLS10[[#This Row],[R37]]+COUNTIF(TabSLS10[[R1]:[R37]],TabSLS10[[#This Row],[R37]])-1&lt;=Sitze_Ausschuss,"SITZ","PATT"),"")</f>
        <v/>
      </c>
      <c r="CE20" s="47" t="b">
        <f>COUNTIF(TabSLS10[[#This Row],[SP1]:[SP37]],"PATT")&gt;0</f>
        <v>0</v>
      </c>
      <c r="CF20" s="33">
        <f>IF(TabSLS10[[#This Row],[Patt?]],(Sitze_Ausschuss-SUM(TabSLS10[Sitze]))/TabSLS10[[#Totals],[Patt?]],0)</f>
        <v>0</v>
      </c>
      <c r="CG20" s="48">
        <f>TabSLS10[[#This Row],[Patt?]]*IF(Pattaufloesung="Stimmen",TabPatt11[[#This Row],[Stimmen]],0)*1</f>
        <v>0</v>
      </c>
      <c r="CH20" s="49" t="b">
        <f>_xlfn.RANK.EQ(TabSLS10[[#This Row],[Stimmen Gelost]],TabSLS10[Stimmen Gelost],0)&lt;=(Sitze_Ausschuss-SUM(TabSLS10[Sitze]))</f>
        <v>0</v>
      </c>
      <c r="CI20" s="50" t="b">
        <f>OR(TabSLS10[[#This Row],[Sitze]]&lt;ROUNDDOWN(Grunddaten7[[#This Row],[Proporzgenaue Zahl Ausschuss]],0),TabSLS10[[#This Row],[Sitze]]+(TabSLS10[[#This Row],[Patt?]]*1)&gt;ROUNDUP(Grunddaten7[[#This Row],[Proporzgenaue Zahl Ausschuss]],0))</f>
        <v>0</v>
      </c>
      <c r="CJ20" s="57"/>
      <c r="CK20" s="36">
        <f>COUNTIF(TabDH12[[#This Row],[SP1]:[SP19]],"SITZ")</f>
        <v>0</v>
      </c>
      <c r="CL20" s="37">
        <f>IF(TabDH12[[#This Row],[Patt]],IF(Pattaufloesung="Los-Chance",TabDH12[[#This Row],[Los Chance]],TabDH12[[#This Row],[Pattgewinn]]+0),0)</f>
        <v>0</v>
      </c>
      <c r="CM20" s="38">
        <f>Grunddaten7[[#This Row],[Sitze im Hauptorgan]]/_xlfn.NUMBERVALUE(MID(INDEX(TabDH12[[#Headers],[:1]:[:19]],COLUMN()-COLUMN(TabDH12[[#Headers],[:1]])+1),2,3))</f>
        <v>0</v>
      </c>
      <c r="CN20" s="39">
        <f>Grunddaten7[[#This Row],[Sitze im Hauptorgan]]/_xlfn.NUMBERVALUE(MID(INDEX(TabDH12[[#Headers],[:1]:[:19]],COLUMN()-COLUMN(TabDH12[[#Headers],[:1]])+1),2,3))</f>
        <v>0</v>
      </c>
      <c r="CO20" s="39">
        <f>Grunddaten7[[#This Row],[Sitze im Hauptorgan]]/_xlfn.NUMBERVALUE(MID(INDEX(TabDH12[[#Headers],[:1]:[:19]],COLUMN()-COLUMN(TabDH12[[#Headers],[:1]])+1),2,3))</f>
        <v>0</v>
      </c>
      <c r="CP20" s="39">
        <f>Grunddaten7[[#This Row],[Sitze im Hauptorgan]]/_xlfn.NUMBERVALUE(MID(INDEX(TabDH12[[#Headers],[:1]:[:19]],COLUMN()-COLUMN(TabDH12[[#Headers],[:1]])+1),2,3))</f>
        <v>0</v>
      </c>
      <c r="CQ20" s="39">
        <f>Grunddaten7[[#This Row],[Sitze im Hauptorgan]]/_xlfn.NUMBERVALUE(MID(INDEX(TabDH12[[#Headers],[:1]:[:19]],COLUMN()-COLUMN(TabDH12[[#Headers],[:1]])+1),2,3))</f>
        <v>0</v>
      </c>
      <c r="CR20" s="39">
        <f>Grunddaten7[[#This Row],[Sitze im Hauptorgan]]/_xlfn.NUMBERVALUE(MID(INDEX(TabDH12[[#Headers],[:1]:[:19]],COLUMN()-COLUMN(TabDH12[[#Headers],[:1]])+1),2,3))</f>
        <v>0</v>
      </c>
      <c r="CS20" s="39">
        <f>Grunddaten7[[#This Row],[Sitze im Hauptorgan]]/_xlfn.NUMBERVALUE(MID(INDEX(TabDH12[[#Headers],[:1]:[:19]],COLUMN()-COLUMN(TabDH12[[#Headers],[:1]])+1),2,3))</f>
        <v>0</v>
      </c>
      <c r="CT20" s="39">
        <f>Grunddaten7[[#This Row],[Sitze im Hauptorgan]]/_xlfn.NUMBERVALUE(MID(INDEX(TabDH12[[#Headers],[:1]:[:19]],COLUMN()-COLUMN(TabDH12[[#Headers],[:1]])+1),2,3))</f>
        <v>0</v>
      </c>
      <c r="CU20" s="39">
        <f>Grunddaten7[[#This Row],[Sitze im Hauptorgan]]/_xlfn.NUMBERVALUE(MID(INDEX(TabDH12[[#Headers],[:1]:[:19]],COLUMN()-COLUMN(TabDH12[[#Headers],[:1]])+1),2,3))</f>
        <v>0</v>
      </c>
      <c r="CV20" s="39">
        <f>Grunddaten7[[#This Row],[Sitze im Hauptorgan]]/_xlfn.NUMBERVALUE(MID(INDEX(TabDH12[[#Headers],[:1]:[:19]],COLUMN()-COLUMN(TabDH12[[#Headers],[:1]])+1),2,3))</f>
        <v>0</v>
      </c>
      <c r="CW20" s="39">
        <f>Grunddaten7[[#This Row],[Sitze im Hauptorgan]]/_xlfn.NUMBERVALUE(MID(INDEX(TabDH12[[#Headers],[:1]:[:19]],COLUMN()-COLUMN(TabDH12[[#Headers],[:1]])+1),2,3))</f>
        <v>0</v>
      </c>
      <c r="CX20" s="39">
        <f>Grunddaten7[[#This Row],[Sitze im Hauptorgan]]/_xlfn.NUMBERVALUE(MID(INDEX(TabDH12[[#Headers],[:1]:[:19]],COLUMN()-COLUMN(TabDH12[[#Headers],[:1]])+1),2,3))</f>
        <v>0</v>
      </c>
      <c r="CY20" s="39">
        <f>Grunddaten7[[#This Row],[Sitze im Hauptorgan]]/_xlfn.NUMBERVALUE(MID(INDEX(TabDH12[[#Headers],[:1]:[:19]],COLUMN()-COLUMN(TabDH12[[#Headers],[:1]])+1),2,3))</f>
        <v>0</v>
      </c>
      <c r="CZ20" s="39">
        <f>Grunddaten7[[#This Row],[Sitze im Hauptorgan]]/_xlfn.NUMBERVALUE(MID(INDEX(TabDH12[[#Headers],[:1]:[:19]],COLUMN()-COLUMN(TabDH12[[#Headers],[:1]])+1),2,3))</f>
        <v>0</v>
      </c>
      <c r="DA20" s="39">
        <f>Grunddaten7[[#This Row],[Sitze im Hauptorgan]]/_xlfn.NUMBERVALUE(MID(INDEX(TabDH12[[#Headers],[:1]:[:19]],COLUMN()-COLUMN(TabDH12[[#Headers],[:1]])+1),2,3))</f>
        <v>0</v>
      </c>
      <c r="DB20" s="39">
        <f>Grunddaten7[[#This Row],[Sitze im Hauptorgan]]/_xlfn.NUMBERVALUE(MID(INDEX(TabDH12[[#Headers],[:1]:[:19]],COLUMN()-COLUMN(TabDH12[[#Headers],[:1]])+1),2,3))</f>
        <v>0</v>
      </c>
      <c r="DC20" s="39">
        <f>Grunddaten7[[#This Row],[Sitze im Hauptorgan]]/_xlfn.NUMBERVALUE(MID(INDEX(TabDH12[[#Headers],[:1]:[:19]],COLUMN()-COLUMN(TabDH12[[#Headers],[:1]])+1),2,3))</f>
        <v>0</v>
      </c>
      <c r="DD20" s="39">
        <f>Grunddaten7[[#This Row],[Sitze im Hauptorgan]]/_xlfn.NUMBERVALUE(MID(INDEX(TabDH12[[#Headers],[:1]:[:19]],COLUMN()-COLUMN(TabDH12[[#Headers],[:1]])+1),2,3))</f>
        <v>0</v>
      </c>
      <c r="DE20" s="40">
        <f>Grunddaten7[[#This Row],[Sitze im Hauptorgan]]/_xlfn.NUMBERVALUE(MID(INDEX(TabDH12[[#Headers],[:1]:[:19]],COLUMN()-COLUMN(TabDH12[[#Headers],[:1]])+1),2,3))</f>
        <v>0</v>
      </c>
      <c r="DF20" s="41">
        <f>_xlfn.RANK.EQ(TabDH12[[#This Row],[:1]],TabDH12[[:1]:[:19]],0)</f>
        <v>134</v>
      </c>
      <c r="DG20" s="42">
        <f>_xlfn.RANK.EQ(TabDH12[[#This Row],[:2]],TabDH12[[:1]:[:19]],0)</f>
        <v>134</v>
      </c>
      <c r="DH20" s="42">
        <f>_xlfn.RANK.EQ(TabDH12[[#This Row],[:3]],TabDH12[[:1]:[:19]],0)</f>
        <v>134</v>
      </c>
      <c r="DI20" s="42">
        <f>_xlfn.RANK.EQ(TabDH12[[#This Row],[:4]],TabDH12[[:1]:[:19]],0)</f>
        <v>134</v>
      </c>
      <c r="DJ20" s="42">
        <f>_xlfn.RANK.EQ(TabDH12[[#This Row],[:5]],TabDH12[[:1]:[:19]],0)</f>
        <v>134</v>
      </c>
      <c r="DK20" s="42">
        <f>_xlfn.RANK.EQ(TabDH12[[#This Row],[:6]],TabDH12[[:1]:[:19]],0)</f>
        <v>134</v>
      </c>
      <c r="DL20" s="42">
        <f>_xlfn.RANK.EQ(TabDH12[[#This Row],[:7]],TabDH12[[:1]:[:19]],0)</f>
        <v>134</v>
      </c>
      <c r="DM20" s="42">
        <f>_xlfn.RANK.EQ(TabDH12[[#This Row],[:8]],TabDH12[[:1]:[:19]],0)</f>
        <v>134</v>
      </c>
      <c r="DN20" s="42">
        <f>_xlfn.RANK.EQ(TabDH12[[#This Row],[:9]],TabDH12[[:1]:[:19]],0)</f>
        <v>134</v>
      </c>
      <c r="DO20" s="42">
        <f>_xlfn.RANK.EQ(TabDH12[[#This Row],[:10]],TabDH12[[:1]:[:19]],0)</f>
        <v>134</v>
      </c>
      <c r="DP20" s="42">
        <f>_xlfn.RANK.EQ(TabDH12[[#This Row],[:11]],TabDH12[[:1]:[:19]],0)</f>
        <v>134</v>
      </c>
      <c r="DQ20" s="42">
        <f>_xlfn.RANK.EQ(TabDH12[[#This Row],[:12]],TabDH12[[:1]:[:19]],0)</f>
        <v>134</v>
      </c>
      <c r="DR20" s="42">
        <f>_xlfn.RANK.EQ(TabDH12[[#This Row],[:13]],TabDH12[[:1]:[:19]],0)</f>
        <v>134</v>
      </c>
      <c r="DS20" s="42">
        <f>_xlfn.RANK.EQ(TabDH12[[#This Row],[:14]],TabDH12[[:1]:[:19]],0)</f>
        <v>134</v>
      </c>
      <c r="DT20" s="42">
        <f>_xlfn.RANK.EQ(TabDH12[[#This Row],[:15]],TabDH12[[:1]:[:19]],0)</f>
        <v>134</v>
      </c>
      <c r="DU20" s="42">
        <f>_xlfn.RANK.EQ(TabDH12[[#This Row],[:16]],TabDH12[[:1]:[:19]],0)</f>
        <v>134</v>
      </c>
      <c r="DV20" s="42">
        <f>_xlfn.RANK.EQ(TabDH12[[#This Row],[:17]],TabDH12[[:1]:[:19]],0)</f>
        <v>134</v>
      </c>
      <c r="DW20" s="42">
        <f>_xlfn.RANK.EQ(TabDH12[[#This Row],[:18]],TabDH12[[:1]:[:19]],0)</f>
        <v>134</v>
      </c>
      <c r="DX20" s="43">
        <f>_xlfn.RANK.EQ(TabDH12[[#This Row],[:19]],TabDH12[[:1]:[:19]],0)</f>
        <v>134</v>
      </c>
      <c r="DY20" s="44" t="str">
        <f>IF(TabDH12[[#This Row],[R1]]&lt;=Sitze_Ausschuss,IF(TabDH12[[#This Row],[R1]]+COUNTIF(TabDH12[[R1]:[R19]],TabDH12[[#This Row],[R1]])-1&lt;=Sitze_Ausschuss,"SITZ","PATT"),"")</f>
        <v/>
      </c>
      <c r="DZ20" s="45" t="str">
        <f>IF(TabDH12[[#This Row],[R2]]&lt;=Sitze_Ausschuss,IF(TabDH12[[#This Row],[R2]]+COUNTIF(TabDH12[[R1]:[R19]],TabDH12[[#This Row],[R2]])-1&lt;=Sitze_Ausschuss,"SITZ","PATT"),"")</f>
        <v/>
      </c>
      <c r="EA20" s="45" t="str">
        <f>IF(TabDH12[[#This Row],[R3]]&lt;=Sitze_Ausschuss,IF(TabDH12[[#This Row],[R3]]+COUNTIF(TabDH12[[R1]:[R19]],TabDH12[[#This Row],[R3]])-1&lt;=Sitze_Ausschuss,"SITZ","PATT"),"")</f>
        <v/>
      </c>
      <c r="EB20" s="45" t="str">
        <f>IF(TabDH12[[#This Row],[R4]]&lt;=Sitze_Ausschuss,IF(TabDH12[[#This Row],[R4]]+COUNTIF(TabDH12[[R1]:[R19]],TabDH12[[#This Row],[R4]])-1&lt;=Sitze_Ausschuss,"SITZ","PATT"),"")</f>
        <v/>
      </c>
      <c r="EC20" s="45" t="str">
        <f>IF(TabDH12[[#This Row],[R5]]&lt;=Sitze_Ausschuss,IF(TabDH12[[#This Row],[R5]]+COUNTIF(TabDH12[[R1]:[R19]],TabDH12[[#This Row],[R5]])-1&lt;=Sitze_Ausschuss,"SITZ","PATT"),"")</f>
        <v/>
      </c>
      <c r="ED20" s="45" t="str">
        <f>IF(TabDH12[[#This Row],[R6]]&lt;=Sitze_Ausschuss,IF(TabDH12[[#This Row],[R6]]+COUNTIF(TabDH12[[R1]:[R19]],TabDH12[[#This Row],[R6]])-1&lt;=Sitze_Ausschuss,"SITZ","PATT"),"")</f>
        <v/>
      </c>
      <c r="EE20" s="45" t="str">
        <f>IF(TabDH12[[#This Row],[R7]]&lt;=Sitze_Ausschuss,IF(TabDH12[[#This Row],[R7]]+COUNTIF(TabDH12[[R1]:[R19]],TabDH12[[#This Row],[R7]])-1&lt;=Sitze_Ausschuss,"SITZ","PATT"),"")</f>
        <v/>
      </c>
      <c r="EF20" s="45" t="str">
        <f>IF(TabDH12[[#This Row],[R8]]&lt;=Sitze_Ausschuss,IF(TabDH12[[#This Row],[R8]]+COUNTIF(TabDH12[[R1]:[R19]],TabDH12[[#This Row],[R8]])-1&lt;=Sitze_Ausschuss,"SITZ","PATT"),"")</f>
        <v/>
      </c>
      <c r="EG20" s="45" t="str">
        <f>IF(TabDH12[[#This Row],[R9]]&lt;=Sitze_Ausschuss,IF(TabDH12[[#This Row],[R9]]+COUNTIF(TabDH12[[R1]:[R19]],TabDH12[[#This Row],[R9]])-1&lt;=Sitze_Ausschuss,"SITZ","PATT"),"")</f>
        <v/>
      </c>
      <c r="EH20" s="45" t="str">
        <f>IF(TabDH12[[#This Row],[R10]]&lt;=Sitze_Ausschuss,IF(TabDH12[[#This Row],[R10]]+COUNTIF(TabDH12[[R1]:[R19]],TabDH12[[#This Row],[R10]])-1&lt;=Sitze_Ausschuss,"SITZ","PATT"),"")</f>
        <v/>
      </c>
      <c r="EI20" s="45" t="str">
        <f>IF(TabDH12[[#This Row],[R11]]&lt;=Sitze_Ausschuss,IF(TabDH12[[#This Row],[R11]]+COUNTIF(TabDH12[[R1]:[R19]],TabDH12[[#This Row],[R11]])-1&lt;=Sitze_Ausschuss,"SITZ","PATT"),"")</f>
        <v/>
      </c>
      <c r="EJ20" s="45" t="str">
        <f>IF(TabDH12[[#This Row],[R12]]&lt;=Sitze_Ausschuss,IF(TabDH12[[#This Row],[R12]]+COUNTIF(TabDH12[[R1]:[R19]],TabDH12[[#This Row],[R12]])-1&lt;=Sitze_Ausschuss,"SITZ","PATT"),"")</f>
        <v/>
      </c>
      <c r="EK20" s="45" t="str">
        <f>IF(TabDH12[[#This Row],[R13]]&lt;=Sitze_Ausschuss,IF(TabDH12[[#This Row],[R13]]+COUNTIF(TabDH12[[R1]:[R19]],TabDH12[[#This Row],[R13]])-1&lt;=Sitze_Ausschuss,"SITZ","PATT"),"")</f>
        <v/>
      </c>
      <c r="EL20" s="45" t="str">
        <f>IF(TabDH12[[#This Row],[R14]]&lt;=Sitze_Ausschuss,IF(TabDH12[[#This Row],[R14]]+COUNTIF(TabDH12[[R1]:[R19]],TabDH12[[#This Row],[R14]])-1&lt;=Sitze_Ausschuss,"SITZ","PATT"),"")</f>
        <v/>
      </c>
      <c r="EM20" s="45" t="str">
        <f>IF(TabDH12[[#This Row],[R15]]&lt;=Sitze_Ausschuss,IF(TabDH12[[#This Row],[R15]]+COUNTIF(TabDH12[[R1]:[R19]],TabDH12[[#This Row],[R15]])-1&lt;=Sitze_Ausschuss,"SITZ","PATT"),"")</f>
        <v/>
      </c>
      <c r="EN20" s="45" t="str">
        <f>IF(TabDH12[[#This Row],[R16]]&lt;=Sitze_Ausschuss,IF(TabDH12[[#This Row],[R16]]+COUNTIF(TabDH12[[R1]:[R19]],TabDH12[[#This Row],[R16]])-1&lt;=Sitze_Ausschuss,"SITZ","PATT"),"")</f>
        <v/>
      </c>
      <c r="EO20" s="45" t="str">
        <f>IF(TabDH12[[#This Row],[R17]]&lt;=Sitze_Ausschuss,IF(TabDH12[[#This Row],[R17]]+COUNTIF(TabDH12[[R1]:[R19]],TabDH12[[#This Row],[R17]])-1&lt;=Sitze_Ausschuss,"SITZ","PATT"),"")</f>
        <v/>
      </c>
      <c r="EP20" s="45" t="str">
        <f>IF(TabDH12[[#This Row],[R18]]&lt;=Sitze_Ausschuss,IF(TabDH12[[#This Row],[R18]]+COUNTIF(TabDH12[[R1]:[R19]],TabDH12[[#This Row],[R18]])-1&lt;=Sitze_Ausschuss,"SITZ","PATT"),"")</f>
        <v/>
      </c>
      <c r="EQ20" s="45" t="str">
        <f>IF(TabDH12[[#This Row],[R19]]&lt;=Sitze_Ausschuss,IF(TabDH12[[#This Row],[R19]]+COUNTIF(TabDH12[[R1]:[R19]],TabDH12[[#This Row],[R19]])-1&lt;=Sitze_Ausschuss,"SITZ","PATT"),"")</f>
        <v/>
      </c>
      <c r="ER20" s="47" t="b">
        <f>COUNTIF(TabDH12[[#This Row],[SP1]:[SP19]],"PATT")&gt;0</f>
        <v>0</v>
      </c>
      <c r="ES20" s="33">
        <f>IF(TabDH12[[#This Row],[Patt]],(Sitze_Ausschuss-SUM(TabDH12[Sitze]))/TabDH12[[#Totals],[Patt]],0)</f>
        <v>0</v>
      </c>
      <c r="ET20" s="48">
        <f>TabDH12[[#This Row],[Patt]]*IF(Pattaufloesung="Stimmen",TabPatt11[[#This Row],[Stimmen]],0)*1</f>
        <v>0</v>
      </c>
      <c r="EU20" s="49" t="b">
        <f>_xlfn.RANK.EQ(TabDH12[[#This Row],[Stimmen/Gelost]],TabDH12[Stimmen/Gelost],0)&lt;=(Sitze_Ausschuss-SUM(TabDH12[Sitze]))</f>
        <v>1</v>
      </c>
      <c r="EV20" s="50" t="b">
        <f>OR(TabDH12[[#This Row],[Sitze]]&lt;ROUNDDOWN(Grunddaten7[[#This Row],[Proporzgenaue Zahl Ausschuss]],0),TabDH12[[#This Row],[Sitze]]+(TabDH12[[#This Row],[Patt]]*1)&gt;ROUNDUP(Grunddaten7[[#This Row],[Proporzgenaue Zahl Ausschuss]],0))</f>
        <v>0</v>
      </c>
      <c r="EW20" s="57"/>
      <c r="EX20" s="51" t="str">
        <f>Grunddaten7[[#This Row],[Partei/Wählergruppe]]&amp;""</f>
        <v/>
      </c>
      <c r="EY20" s="51">
        <f t="shared" si="6"/>
        <v>0</v>
      </c>
      <c r="EZ20" s="3"/>
      <c r="FA20" s="3"/>
      <c r="FB20" s="3"/>
      <c r="FC20" s="3"/>
      <c r="FD20" s="3"/>
    </row>
    <row r="21" spans="1:160" x14ac:dyDescent="0.25">
      <c r="A21" s="3"/>
      <c r="B21" s="90" t="str">
        <f t="shared" si="0"/>
        <v/>
      </c>
      <c r="C21" s="91">
        <f t="shared" si="1"/>
        <v>0</v>
      </c>
      <c r="D21" s="168">
        <f>Grunddaten7[[#This Row],[Sitze im Hauptorgan]]/Grunddaten7[[#Totals],[Sitze im Hauptorgan]]*Sitze_Ausschuss</f>
        <v>0</v>
      </c>
      <c r="E21" s="159">
        <f>IF(ROUNDDOWN(Grunddaten7[[#This Row],[Proporzgenaue Zahl Ausschuss]],0)&lt;&gt;ROUNDUP(Grunddaten7[[#This Row],[Proporzgenaue Zahl Ausschuss]],0), ROUNDDOWN(Grunddaten7[[#This Row],[Proporzgenaue Zahl Ausschuss]],0)&amp;" oder "&amp;ROUNDUP(Grunddaten7[[#This Row],[Proporzgenaue Zahl Ausschuss]],0),ROUND(Grunddaten7[[#This Row],[Proporzgenaue Zahl Ausschuss]],0))</f>
        <v>0</v>
      </c>
      <c r="F21" s="52" t="str">
        <f t="shared" si="2"/>
        <v>OK</v>
      </c>
      <c r="G21" s="52" t="str">
        <f>IF(TabSLS10[[#This Row],[QK verletzt]],"NOK","OK")</f>
        <v>OK</v>
      </c>
      <c r="H21" s="53" t="str">
        <f>IF(TabDH12[[#This Row],[QK verletzt]],"NOK","OK")</f>
        <v>OK</v>
      </c>
      <c r="I21" s="163">
        <f t="shared" si="3"/>
        <v>0</v>
      </c>
      <c r="J21" s="163">
        <f t="shared" si="4"/>
        <v>0</v>
      </c>
      <c r="K21" s="163">
        <f t="shared" si="5"/>
        <v>0</v>
      </c>
      <c r="L21" s="54"/>
      <c r="M21" s="92">
        <f>TabHN9[[#This Row],[S ganz]]+IF(NOT(TabHN9[[#This Row],[Patt]]),TabHN9[[#This Row],[Restsitz]],0)</f>
        <v>0</v>
      </c>
      <c r="N21" s="162">
        <f>IF(TabHN9[[#This Row],[Patt]],IF(Pattaufloesung="Los-Chance",TabHN9[[#This Row],[Los Chance]],TabHN9[[#This Row],[Pattgewinn]]+0),0)</f>
        <v>0</v>
      </c>
      <c r="O21" s="30">
        <f>INT(Grunddaten7[[#This Row],[Proporzgenaue Zahl Ausschuss]])</f>
        <v>0</v>
      </c>
      <c r="P21" s="31">
        <f>ROUND(Grunddaten7[[#This Row],[Proporzgenaue Zahl Ausschuss]]-TabHN9[[#This Row],[S ganz]],4)</f>
        <v>0</v>
      </c>
      <c r="Q21" s="32">
        <f>_xlfn.RANK.EQ(TabHN9[[#This Row],[S Rest]],TabHN9[S Rest],0)</f>
        <v>5</v>
      </c>
      <c r="R21" s="30">
        <f>IF(TabHN9[[#This Row],[Rng Rest]]&lt;=TabHN9[[#Totals],[S Rest]],1,0)</f>
        <v>0</v>
      </c>
      <c r="S21" s="30" t="b">
        <f>AND(TabHN9[[#This Row],[Restsitz]]=1,(COUNTIF(TabHN9[Rng Rest],TabHN9[[#This Row],[Rng Rest]])+TabHN9[[#This Row],[Rng Rest]]-1)&gt;TabHN9[[#Totals],[S Rest]])</f>
        <v>0</v>
      </c>
      <c r="T21" s="33">
        <f>IF(TabHN9[[#This Row],[Patt]],(Sitze_Ausschuss-SUM(TabHN9[Sitze]))/TabHN9[[#Totals],[Patt]],0)</f>
        <v>0</v>
      </c>
      <c r="U21" s="34">
        <f>TabHN9[[#This Row],[Patt]]*IF(Pattaufloesung="Stimmen",TabPatt11[[#This Row],[Stimmen]],0)*1</f>
        <v>0</v>
      </c>
      <c r="V21" s="35" t="b">
        <f>_xlfn.RANK.EQ(TabHN9[[#This Row],[Stimmen/Gelost]],TabHN9[Stimmen/Gelost],0)&lt;=(Sitze_Ausschuss-SUM(TabHN9[Sitze]))</f>
        <v>0</v>
      </c>
      <c r="W21" s="55"/>
      <c r="X21" s="36">
        <f>COUNTIF(TabSLS10[[#This Row],[SP1]:[SP37]],"SITZ")</f>
        <v>0</v>
      </c>
      <c r="Y21" s="37">
        <f>IF(TabSLS10[[#This Row],[Patt?]],IF(Pattaufloesung="Los-Chance",TabSLS10[[#This Row],[Los Chance]],TabSLS10[[#This Row],[Pattgewinn]]+0),0)</f>
        <v>0</v>
      </c>
      <c r="Z21" s="38">
        <f>Grunddaten7[[#This Row],[Sitze im Hauptorgan]]/_xlfn.NUMBERVALUE(MID(INDEX(TabSLS10[[#Headers],[:1]:[:37]],COLUMN()-COLUMN(TabSLS10[[#Headers],[:1]])+1),2,3))</f>
        <v>0</v>
      </c>
      <c r="AA21" s="39">
        <f>Grunddaten7[[#This Row],[Sitze im Hauptorgan]]/_xlfn.NUMBERVALUE(MID(INDEX(TabSLS10[[#Headers],[:1]:[:37]],COLUMN()-COLUMN(TabSLS10[[#Headers],[:1]])+1),2,3))</f>
        <v>0</v>
      </c>
      <c r="AB21" s="39">
        <f>Grunddaten7[[#This Row],[Sitze im Hauptorgan]]/_xlfn.NUMBERVALUE(MID(INDEX(TabSLS10[[#Headers],[:1]:[:37]],COLUMN()-COLUMN(TabSLS10[[#Headers],[:1]])+1),2,3))</f>
        <v>0</v>
      </c>
      <c r="AC21" s="39">
        <f>Grunddaten7[[#This Row],[Sitze im Hauptorgan]]/_xlfn.NUMBERVALUE(MID(INDEX(TabSLS10[[#Headers],[:1]:[:37]],COLUMN()-COLUMN(TabSLS10[[#Headers],[:1]])+1),2,3))</f>
        <v>0</v>
      </c>
      <c r="AD21" s="39">
        <f>Grunddaten7[[#This Row],[Sitze im Hauptorgan]]/_xlfn.NUMBERVALUE(MID(INDEX(TabSLS10[[#Headers],[:1]:[:37]],COLUMN()-COLUMN(TabSLS10[[#Headers],[:1]])+1),2,3))</f>
        <v>0</v>
      </c>
      <c r="AE21" s="39">
        <f>Grunddaten7[[#This Row],[Sitze im Hauptorgan]]/_xlfn.NUMBERVALUE(MID(INDEX(TabSLS10[[#Headers],[:1]:[:37]],COLUMN()-COLUMN(TabSLS10[[#Headers],[:1]])+1),2,3))</f>
        <v>0</v>
      </c>
      <c r="AF21" s="39">
        <f>Grunddaten7[[#This Row],[Sitze im Hauptorgan]]/_xlfn.NUMBERVALUE(MID(INDEX(TabSLS10[[#Headers],[:1]:[:37]],COLUMN()-COLUMN(TabSLS10[[#Headers],[:1]])+1),2,3))</f>
        <v>0</v>
      </c>
      <c r="AG21" s="39">
        <f>Grunddaten7[[#This Row],[Sitze im Hauptorgan]]/_xlfn.NUMBERVALUE(MID(INDEX(TabSLS10[[#Headers],[:1]:[:37]],COLUMN()-COLUMN(TabSLS10[[#Headers],[:1]])+1),2,3))</f>
        <v>0</v>
      </c>
      <c r="AH21" s="39">
        <f>Grunddaten7[[#This Row],[Sitze im Hauptorgan]]/_xlfn.NUMBERVALUE(MID(INDEX(TabSLS10[[#Headers],[:1]:[:37]],COLUMN()-COLUMN(TabSLS10[[#Headers],[:1]])+1),2,3))</f>
        <v>0</v>
      </c>
      <c r="AI21" s="39">
        <f>Grunddaten7[[#This Row],[Sitze im Hauptorgan]]/_xlfn.NUMBERVALUE(MID(INDEX(TabSLS10[[#Headers],[:1]:[:37]],COLUMN()-COLUMN(TabSLS10[[#Headers],[:1]])+1),2,3))</f>
        <v>0</v>
      </c>
      <c r="AJ21" s="39">
        <f>Grunddaten7[[#This Row],[Sitze im Hauptorgan]]/_xlfn.NUMBERVALUE(MID(INDEX(TabSLS10[[#Headers],[:1]:[:37]],COLUMN()-COLUMN(TabSLS10[[#Headers],[:1]])+1),2,3))</f>
        <v>0</v>
      </c>
      <c r="AK21" s="39">
        <f>Grunddaten7[[#This Row],[Sitze im Hauptorgan]]/_xlfn.NUMBERVALUE(MID(INDEX(TabSLS10[[#Headers],[:1]:[:37]],COLUMN()-COLUMN(TabSLS10[[#Headers],[:1]])+1),2,3))</f>
        <v>0</v>
      </c>
      <c r="AL21" s="39">
        <f>Grunddaten7[[#This Row],[Sitze im Hauptorgan]]/_xlfn.NUMBERVALUE(MID(INDEX(TabSLS10[[#Headers],[:1]:[:37]],COLUMN()-COLUMN(TabSLS10[[#Headers],[:1]])+1),2,3))</f>
        <v>0</v>
      </c>
      <c r="AM21" s="39">
        <f>Grunddaten7[[#This Row],[Sitze im Hauptorgan]]/_xlfn.NUMBERVALUE(MID(INDEX(TabSLS10[[#Headers],[:1]:[:37]],COLUMN()-COLUMN(TabSLS10[[#Headers],[:1]])+1),2,3))</f>
        <v>0</v>
      </c>
      <c r="AN21" s="39">
        <f>Grunddaten7[[#This Row],[Sitze im Hauptorgan]]/_xlfn.NUMBERVALUE(MID(INDEX(TabSLS10[[#Headers],[:1]:[:37]],COLUMN()-COLUMN(TabSLS10[[#Headers],[:1]])+1),2,3))</f>
        <v>0</v>
      </c>
      <c r="AO21" s="39">
        <f>Grunddaten7[[#This Row],[Sitze im Hauptorgan]]/_xlfn.NUMBERVALUE(MID(INDEX(TabSLS10[[#Headers],[:1]:[:37]],COLUMN()-COLUMN(TabSLS10[[#Headers],[:1]])+1),2,3))</f>
        <v>0</v>
      </c>
      <c r="AP21" s="39">
        <f>Grunddaten7[[#This Row],[Sitze im Hauptorgan]]/_xlfn.NUMBERVALUE(MID(INDEX(TabSLS10[[#Headers],[:1]:[:37]],COLUMN()-COLUMN(TabSLS10[[#Headers],[:1]])+1),2,3))</f>
        <v>0</v>
      </c>
      <c r="AQ21" s="39">
        <f>Grunddaten7[[#This Row],[Sitze im Hauptorgan]]/_xlfn.NUMBERVALUE(MID(INDEX(TabSLS10[[#Headers],[:1]:[:37]],COLUMN()-COLUMN(TabSLS10[[#Headers],[:1]])+1),2,3))</f>
        <v>0</v>
      </c>
      <c r="AR21" s="40">
        <f>Grunddaten7[[#This Row],[Sitze im Hauptorgan]]/_xlfn.NUMBERVALUE(MID(INDEX(TabSLS10[[#Headers],[:1]:[:37]],COLUMN()-COLUMN(TabSLS10[[#Headers],[:1]])+1),2,3))</f>
        <v>0</v>
      </c>
      <c r="AS21" s="41">
        <f>_xlfn.RANK.EQ(TabSLS10[[#This Row],[:1]],TabSLS10[[:1]:[:37]],0)</f>
        <v>134</v>
      </c>
      <c r="AT21" s="42">
        <f>_xlfn.RANK.EQ(TabSLS10[[#This Row],[:3]],TabSLS10[[:1]:[:37]],0)</f>
        <v>134</v>
      </c>
      <c r="AU21" s="42">
        <f>_xlfn.RANK.EQ(TabSLS10[[#This Row],[:5]],TabSLS10[[:1]:[:37]],0)</f>
        <v>134</v>
      </c>
      <c r="AV21" s="42">
        <f>_xlfn.RANK.EQ(TabSLS10[[#This Row],[:7]],TabSLS10[[:1]:[:37]],0)</f>
        <v>134</v>
      </c>
      <c r="AW21" s="42">
        <f>_xlfn.RANK.EQ(TabSLS10[[#This Row],[:9]],TabSLS10[[:1]:[:37]],0)</f>
        <v>134</v>
      </c>
      <c r="AX21" s="42">
        <f>_xlfn.RANK.EQ(TabSLS10[[#This Row],[:11]],TabSLS10[[:1]:[:37]],0)</f>
        <v>134</v>
      </c>
      <c r="AY21" s="42">
        <f>_xlfn.RANK.EQ(TabSLS10[[#This Row],[:13]],TabSLS10[[:1]:[:37]],0)</f>
        <v>134</v>
      </c>
      <c r="AZ21" s="42">
        <f>_xlfn.RANK.EQ(TabSLS10[[#This Row],[:15]],TabSLS10[[:1]:[:37]],0)</f>
        <v>134</v>
      </c>
      <c r="BA21" s="42">
        <f>_xlfn.RANK.EQ(TabSLS10[[#This Row],[:17]],TabSLS10[[:1]:[:37]],0)</f>
        <v>134</v>
      </c>
      <c r="BB21" s="42">
        <f>_xlfn.RANK.EQ(TabSLS10[[#This Row],[:19]],TabSLS10[[:1]:[:37]],0)</f>
        <v>134</v>
      </c>
      <c r="BC21" s="42">
        <f>_xlfn.RANK.EQ(TabSLS10[[#This Row],[:21]],TabSLS10[[:1]:[:37]],0)</f>
        <v>134</v>
      </c>
      <c r="BD21" s="42">
        <f>_xlfn.RANK.EQ(TabSLS10[[#This Row],[:23]],TabSLS10[[:1]:[:37]],0)</f>
        <v>134</v>
      </c>
      <c r="BE21" s="42">
        <f>_xlfn.RANK.EQ(TabSLS10[[#This Row],[:25]],TabSLS10[[:1]:[:37]],0)</f>
        <v>134</v>
      </c>
      <c r="BF21" s="42">
        <f>_xlfn.RANK.EQ(TabSLS10[[#This Row],[:27]],TabSLS10[[:1]:[:37]],0)</f>
        <v>134</v>
      </c>
      <c r="BG21" s="42">
        <f>_xlfn.RANK.EQ(TabSLS10[[#This Row],[:29]],TabSLS10[[:1]:[:37]],0)</f>
        <v>134</v>
      </c>
      <c r="BH21" s="42">
        <f>_xlfn.RANK.EQ(TabSLS10[[#This Row],[:31]],TabSLS10[[:1]:[:37]],0)</f>
        <v>134</v>
      </c>
      <c r="BI21" s="42">
        <f>_xlfn.RANK.EQ(TabSLS10[[#This Row],[:33]],TabSLS10[[:1]:[:37]],0)</f>
        <v>134</v>
      </c>
      <c r="BJ21" s="42">
        <f>_xlfn.RANK.EQ(TabSLS10[[#This Row],[:35]],TabSLS10[[:1]:[:37]],0)</f>
        <v>134</v>
      </c>
      <c r="BK21" s="43">
        <f>_xlfn.RANK.EQ(TabSLS10[[#This Row],[:37]],TabSLS10[[:1]:[:37]],0)</f>
        <v>134</v>
      </c>
      <c r="BL21" s="44" t="str">
        <f>IF(TabSLS10[[#This Row],[R1]]&lt;=Sitze_Ausschuss,IF(TabSLS10[[#This Row],[R1]]+COUNTIF(TabSLS10[[R1]:[R37]],TabSLS10[[#This Row],[R1]])-1&lt;=Sitze_Ausschuss,"SITZ","PATT"),"")</f>
        <v/>
      </c>
      <c r="BM21" s="45" t="str">
        <f>IF(TabSLS10[[#This Row],[R3]]&lt;=Sitze_Ausschuss,IF(TabSLS10[[#This Row],[R3]]+COUNTIF(TabSLS10[[R1]:[R37]],TabSLS10[[#This Row],[R3]])-1&lt;=Sitze_Ausschuss,"SITZ","PATT"),"")</f>
        <v/>
      </c>
      <c r="BN21" s="45" t="str">
        <f>IF(TabSLS10[[#This Row],[R5]]&lt;=Sitze_Ausschuss,IF(TabSLS10[[#This Row],[R5]]+COUNTIF(TabSLS10[[R1]:[R37]],TabSLS10[[#This Row],[R5]])-1&lt;=Sitze_Ausschuss,"SITZ","PATT"),"")</f>
        <v/>
      </c>
      <c r="BO21" s="45" t="str">
        <f>IF(TabSLS10[[#This Row],[R7]]&lt;=Sitze_Ausschuss,IF(TabSLS10[[#This Row],[R7]]+COUNTIF(TabSLS10[[R1]:[R37]],TabSLS10[[#This Row],[R7]])-1&lt;=Sitze_Ausschuss,"SITZ","PATT"),"")</f>
        <v/>
      </c>
      <c r="BP21" s="45" t="str">
        <f>IF(TabSLS10[[#This Row],[R9]]&lt;=Sitze_Ausschuss,IF(TabSLS10[[#This Row],[R9]]+COUNTIF(TabSLS10[[R1]:[R37]],TabSLS10[[#This Row],[R9]])-1&lt;=Sitze_Ausschuss,"SITZ","PATT"),"")</f>
        <v/>
      </c>
      <c r="BQ21" s="45" t="str">
        <f>IF(TabSLS10[[#This Row],[R11]]&lt;=Sitze_Ausschuss,IF(TabSLS10[[#This Row],[R11]]+COUNTIF(TabSLS10[[R1]:[R37]],TabSLS10[[#This Row],[R11]])-1&lt;=Sitze_Ausschuss,"SITZ","PATT"),"")</f>
        <v/>
      </c>
      <c r="BR21" s="45" t="str">
        <f>IF(TabSLS10[[#This Row],[R13]]&lt;=Sitze_Ausschuss,IF(TabSLS10[[#This Row],[R13]]+COUNTIF(TabSLS10[[R1]:[R37]],TabSLS10[[#This Row],[R13]])-1&lt;=Sitze_Ausschuss,"SITZ","PATT"),"")</f>
        <v/>
      </c>
      <c r="BS21" s="45" t="str">
        <f>IF(TabSLS10[[#This Row],[R15]]&lt;=Sitze_Ausschuss,IF(TabSLS10[[#This Row],[R15]]+COUNTIF(TabSLS10[[R1]:[R37]],TabSLS10[[#This Row],[R15]])-1&lt;=Sitze_Ausschuss,"SITZ","PATT"),"")</f>
        <v/>
      </c>
      <c r="BT21" s="45" t="str">
        <f>IF(TabSLS10[[#This Row],[R17]]&lt;=Sitze_Ausschuss,IF(TabSLS10[[#This Row],[R17]]+COUNTIF(TabSLS10[[R1]:[R37]],TabSLS10[[#This Row],[R17]])-1&lt;=Sitze_Ausschuss,"SITZ","PATT"),"")</f>
        <v/>
      </c>
      <c r="BU21" s="45" t="str">
        <f>IF(TabSLS10[[#This Row],[R19]]&lt;=Sitze_Ausschuss,IF(TabSLS10[[#This Row],[R19]]+COUNTIF(TabSLS10[[R1]:[R37]],TabSLS10[[#This Row],[R19]])-1&lt;=Sitze_Ausschuss,"SITZ","PATT"),"")</f>
        <v/>
      </c>
      <c r="BV21" s="45" t="str">
        <f>IF(TabSLS10[[#This Row],[R21]]&lt;=Sitze_Ausschuss,IF(TabSLS10[[#This Row],[R21]]+COUNTIF(TabSLS10[[R1]:[R37]],TabSLS10[[#This Row],[R21]])-1&lt;=Sitze_Ausschuss,"SITZ","PATT"),"")</f>
        <v/>
      </c>
      <c r="BW21" s="45" t="str">
        <f>IF(TabSLS10[[#This Row],[R23]]&lt;=Sitze_Ausschuss,IF(TabSLS10[[#This Row],[R23]]+COUNTIF(TabSLS10[[R1]:[R37]],TabSLS10[[#This Row],[R23]])-1&lt;=Sitze_Ausschuss,"SITZ","PATT"),"")</f>
        <v/>
      </c>
      <c r="BX21" s="45" t="str">
        <f>IF(TabSLS10[[#This Row],[R25]]&lt;=Sitze_Ausschuss,IF(TabSLS10[[#This Row],[R25]]+COUNTIF(TabSLS10[[R1]:[R37]],TabSLS10[[#This Row],[R25]])-1&lt;=Sitze_Ausschuss,"SITZ","PATT"),"")</f>
        <v/>
      </c>
      <c r="BY21" s="45" t="str">
        <f>IF(TabSLS10[[#This Row],[R27]]&lt;=Sitze_Ausschuss,IF(TabSLS10[[#This Row],[R27]]+COUNTIF(TabSLS10[[R1]:[R37]],TabSLS10[[#This Row],[R27]])-1&lt;=Sitze_Ausschuss,"SITZ","PATT"),"")</f>
        <v/>
      </c>
      <c r="BZ21" s="45" t="str">
        <f>IF(TabSLS10[[#This Row],[R29]]&lt;=Sitze_Ausschuss,IF(TabSLS10[[#This Row],[R29]]+COUNTIF(TabSLS10[[R1]:[R37]],TabSLS10[[#This Row],[R29]])-1&lt;=Sitze_Ausschuss,"SITZ","PATT"),"")</f>
        <v/>
      </c>
      <c r="CA21" s="45" t="str">
        <f>IF(TabSLS10[[#This Row],[R31]]&lt;=Sitze_Ausschuss,IF(TabSLS10[[#This Row],[R31]]+COUNTIF(TabSLS10[[R1]:[R37]],TabSLS10[[#This Row],[R31]])-1&lt;=Sitze_Ausschuss,"SITZ","PATT"),"")</f>
        <v/>
      </c>
      <c r="CB21" s="45" t="str">
        <f>IF(TabSLS10[[#This Row],[R33]]&lt;=Sitze_Ausschuss,IF(TabSLS10[[#This Row],[R33]]+COUNTIF(TabSLS10[[R1]:[R37]],TabSLS10[[#This Row],[R33]])-1&lt;=Sitze_Ausschuss,"SITZ","PATT"),"")</f>
        <v/>
      </c>
      <c r="CC21" s="45" t="str">
        <f>IF(TabSLS10[[#This Row],[R35]]&lt;=Sitze_Ausschuss,IF(TabSLS10[[#This Row],[R35]]+COUNTIF(TabSLS10[[R1]:[R37]],TabSLS10[[#This Row],[R35]])-1&lt;=Sitze_Ausschuss,"SITZ","PATT"),"")</f>
        <v/>
      </c>
      <c r="CD21" s="46" t="str">
        <f>IF(TabSLS10[[#This Row],[R37]]&lt;=Sitze_Ausschuss,IF(TabSLS10[[#This Row],[R37]]+COUNTIF(TabSLS10[[R1]:[R37]],TabSLS10[[#This Row],[R37]])-1&lt;=Sitze_Ausschuss,"SITZ","PATT"),"")</f>
        <v/>
      </c>
      <c r="CE21" s="47" t="b">
        <f>COUNTIF(TabSLS10[[#This Row],[SP1]:[SP37]],"PATT")&gt;0</f>
        <v>0</v>
      </c>
      <c r="CF21" s="33">
        <f>IF(TabSLS10[[#This Row],[Patt?]],(Sitze_Ausschuss-SUM(TabSLS10[Sitze]))/TabSLS10[[#Totals],[Patt?]],0)</f>
        <v>0</v>
      </c>
      <c r="CG21" s="48">
        <f>TabSLS10[[#This Row],[Patt?]]*IF(Pattaufloesung="Stimmen",TabPatt11[[#This Row],[Stimmen]],0)*1</f>
        <v>0</v>
      </c>
      <c r="CH21" s="49" t="b">
        <f>_xlfn.RANK.EQ(TabSLS10[[#This Row],[Stimmen Gelost]],TabSLS10[Stimmen Gelost],0)&lt;=(Sitze_Ausschuss-SUM(TabSLS10[Sitze]))</f>
        <v>0</v>
      </c>
      <c r="CI21" s="50" t="b">
        <f>OR(TabSLS10[[#This Row],[Sitze]]&lt;ROUNDDOWN(Grunddaten7[[#This Row],[Proporzgenaue Zahl Ausschuss]],0),TabSLS10[[#This Row],[Sitze]]+(TabSLS10[[#This Row],[Patt?]]*1)&gt;ROUNDUP(Grunddaten7[[#This Row],[Proporzgenaue Zahl Ausschuss]],0))</f>
        <v>0</v>
      </c>
      <c r="CJ21" s="3"/>
      <c r="CK21" s="36">
        <f>COUNTIF(TabDH12[[#This Row],[SP1]:[SP19]],"SITZ")</f>
        <v>0</v>
      </c>
      <c r="CL21" s="37">
        <f>IF(TabDH12[[#This Row],[Patt]],IF(Pattaufloesung="Los-Chance",TabDH12[[#This Row],[Los Chance]],TabDH12[[#This Row],[Pattgewinn]]+0),0)</f>
        <v>0</v>
      </c>
      <c r="CM21" s="38">
        <f>Grunddaten7[[#This Row],[Sitze im Hauptorgan]]/_xlfn.NUMBERVALUE(MID(INDEX(TabDH12[[#Headers],[:1]:[:19]],COLUMN()-COLUMN(TabDH12[[#Headers],[:1]])+1),2,3))</f>
        <v>0</v>
      </c>
      <c r="CN21" s="39">
        <f>Grunddaten7[[#This Row],[Sitze im Hauptorgan]]/_xlfn.NUMBERVALUE(MID(INDEX(TabDH12[[#Headers],[:1]:[:19]],COLUMN()-COLUMN(TabDH12[[#Headers],[:1]])+1),2,3))</f>
        <v>0</v>
      </c>
      <c r="CO21" s="39">
        <f>Grunddaten7[[#This Row],[Sitze im Hauptorgan]]/_xlfn.NUMBERVALUE(MID(INDEX(TabDH12[[#Headers],[:1]:[:19]],COLUMN()-COLUMN(TabDH12[[#Headers],[:1]])+1),2,3))</f>
        <v>0</v>
      </c>
      <c r="CP21" s="39">
        <f>Grunddaten7[[#This Row],[Sitze im Hauptorgan]]/_xlfn.NUMBERVALUE(MID(INDEX(TabDH12[[#Headers],[:1]:[:19]],COLUMN()-COLUMN(TabDH12[[#Headers],[:1]])+1),2,3))</f>
        <v>0</v>
      </c>
      <c r="CQ21" s="39">
        <f>Grunddaten7[[#This Row],[Sitze im Hauptorgan]]/_xlfn.NUMBERVALUE(MID(INDEX(TabDH12[[#Headers],[:1]:[:19]],COLUMN()-COLUMN(TabDH12[[#Headers],[:1]])+1),2,3))</f>
        <v>0</v>
      </c>
      <c r="CR21" s="39">
        <f>Grunddaten7[[#This Row],[Sitze im Hauptorgan]]/_xlfn.NUMBERVALUE(MID(INDEX(TabDH12[[#Headers],[:1]:[:19]],COLUMN()-COLUMN(TabDH12[[#Headers],[:1]])+1),2,3))</f>
        <v>0</v>
      </c>
      <c r="CS21" s="39">
        <f>Grunddaten7[[#This Row],[Sitze im Hauptorgan]]/_xlfn.NUMBERVALUE(MID(INDEX(TabDH12[[#Headers],[:1]:[:19]],COLUMN()-COLUMN(TabDH12[[#Headers],[:1]])+1),2,3))</f>
        <v>0</v>
      </c>
      <c r="CT21" s="39">
        <f>Grunddaten7[[#This Row],[Sitze im Hauptorgan]]/_xlfn.NUMBERVALUE(MID(INDEX(TabDH12[[#Headers],[:1]:[:19]],COLUMN()-COLUMN(TabDH12[[#Headers],[:1]])+1),2,3))</f>
        <v>0</v>
      </c>
      <c r="CU21" s="39">
        <f>Grunddaten7[[#This Row],[Sitze im Hauptorgan]]/_xlfn.NUMBERVALUE(MID(INDEX(TabDH12[[#Headers],[:1]:[:19]],COLUMN()-COLUMN(TabDH12[[#Headers],[:1]])+1),2,3))</f>
        <v>0</v>
      </c>
      <c r="CV21" s="39">
        <f>Grunddaten7[[#This Row],[Sitze im Hauptorgan]]/_xlfn.NUMBERVALUE(MID(INDEX(TabDH12[[#Headers],[:1]:[:19]],COLUMN()-COLUMN(TabDH12[[#Headers],[:1]])+1),2,3))</f>
        <v>0</v>
      </c>
      <c r="CW21" s="39">
        <f>Grunddaten7[[#This Row],[Sitze im Hauptorgan]]/_xlfn.NUMBERVALUE(MID(INDEX(TabDH12[[#Headers],[:1]:[:19]],COLUMN()-COLUMN(TabDH12[[#Headers],[:1]])+1),2,3))</f>
        <v>0</v>
      </c>
      <c r="CX21" s="39">
        <f>Grunddaten7[[#This Row],[Sitze im Hauptorgan]]/_xlfn.NUMBERVALUE(MID(INDEX(TabDH12[[#Headers],[:1]:[:19]],COLUMN()-COLUMN(TabDH12[[#Headers],[:1]])+1),2,3))</f>
        <v>0</v>
      </c>
      <c r="CY21" s="39">
        <f>Grunddaten7[[#This Row],[Sitze im Hauptorgan]]/_xlfn.NUMBERVALUE(MID(INDEX(TabDH12[[#Headers],[:1]:[:19]],COLUMN()-COLUMN(TabDH12[[#Headers],[:1]])+1),2,3))</f>
        <v>0</v>
      </c>
      <c r="CZ21" s="39">
        <f>Grunddaten7[[#This Row],[Sitze im Hauptorgan]]/_xlfn.NUMBERVALUE(MID(INDEX(TabDH12[[#Headers],[:1]:[:19]],COLUMN()-COLUMN(TabDH12[[#Headers],[:1]])+1),2,3))</f>
        <v>0</v>
      </c>
      <c r="DA21" s="39">
        <f>Grunddaten7[[#This Row],[Sitze im Hauptorgan]]/_xlfn.NUMBERVALUE(MID(INDEX(TabDH12[[#Headers],[:1]:[:19]],COLUMN()-COLUMN(TabDH12[[#Headers],[:1]])+1),2,3))</f>
        <v>0</v>
      </c>
      <c r="DB21" s="39">
        <f>Grunddaten7[[#This Row],[Sitze im Hauptorgan]]/_xlfn.NUMBERVALUE(MID(INDEX(TabDH12[[#Headers],[:1]:[:19]],COLUMN()-COLUMN(TabDH12[[#Headers],[:1]])+1),2,3))</f>
        <v>0</v>
      </c>
      <c r="DC21" s="39">
        <f>Grunddaten7[[#This Row],[Sitze im Hauptorgan]]/_xlfn.NUMBERVALUE(MID(INDEX(TabDH12[[#Headers],[:1]:[:19]],COLUMN()-COLUMN(TabDH12[[#Headers],[:1]])+1),2,3))</f>
        <v>0</v>
      </c>
      <c r="DD21" s="39">
        <f>Grunddaten7[[#This Row],[Sitze im Hauptorgan]]/_xlfn.NUMBERVALUE(MID(INDEX(TabDH12[[#Headers],[:1]:[:19]],COLUMN()-COLUMN(TabDH12[[#Headers],[:1]])+1),2,3))</f>
        <v>0</v>
      </c>
      <c r="DE21" s="40">
        <f>Grunddaten7[[#This Row],[Sitze im Hauptorgan]]/_xlfn.NUMBERVALUE(MID(INDEX(TabDH12[[#Headers],[:1]:[:19]],COLUMN()-COLUMN(TabDH12[[#Headers],[:1]])+1),2,3))</f>
        <v>0</v>
      </c>
      <c r="DF21" s="41">
        <f>_xlfn.RANK.EQ(TabDH12[[#This Row],[:1]],TabDH12[[:1]:[:19]],0)</f>
        <v>134</v>
      </c>
      <c r="DG21" s="42">
        <f>_xlfn.RANK.EQ(TabDH12[[#This Row],[:2]],TabDH12[[:1]:[:19]],0)</f>
        <v>134</v>
      </c>
      <c r="DH21" s="42">
        <f>_xlfn.RANK.EQ(TabDH12[[#This Row],[:3]],TabDH12[[:1]:[:19]],0)</f>
        <v>134</v>
      </c>
      <c r="DI21" s="42">
        <f>_xlfn.RANK.EQ(TabDH12[[#This Row],[:4]],TabDH12[[:1]:[:19]],0)</f>
        <v>134</v>
      </c>
      <c r="DJ21" s="42">
        <f>_xlfn.RANK.EQ(TabDH12[[#This Row],[:5]],TabDH12[[:1]:[:19]],0)</f>
        <v>134</v>
      </c>
      <c r="DK21" s="42">
        <f>_xlfn.RANK.EQ(TabDH12[[#This Row],[:6]],TabDH12[[:1]:[:19]],0)</f>
        <v>134</v>
      </c>
      <c r="DL21" s="42">
        <f>_xlfn.RANK.EQ(TabDH12[[#This Row],[:7]],TabDH12[[:1]:[:19]],0)</f>
        <v>134</v>
      </c>
      <c r="DM21" s="42">
        <f>_xlfn.RANK.EQ(TabDH12[[#This Row],[:8]],TabDH12[[:1]:[:19]],0)</f>
        <v>134</v>
      </c>
      <c r="DN21" s="42">
        <f>_xlfn.RANK.EQ(TabDH12[[#This Row],[:9]],TabDH12[[:1]:[:19]],0)</f>
        <v>134</v>
      </c>
      <c r="DO21" s="42">
        <f>_xlfn.RANK.EQ(TabDH12[[#This Row],[:10]],TabDH12[[:1]:[:19]],0)</f>
        <v>134</v>
      </c>
      <c r="DP21" s="42">
        <f>_xlfn.RANK.EQ(TabDH12[[#This Row],[:11]],TabDH12[[:1]:[:19]],0)</f>
        <v>134</v>
      </c>
      <c r="DQ21" s="42">
        <f>_xlfn.RANK.EQ(TabDH12[[#This Row],[:12]],TabDH12[[:1]:[:19]],0)</f>
        <v>134</v>
      </c>
      <c r="DR21" s="42">
        <f>_xlfn.RANK.EQ(TabDH12[[#This Row],[:13]],TabDH12[[:1]:[:19]],0)</f>
        <v>134</v>
      </c>
      <c r="DS21" s="42">
        <f>_xlfn.RANK.EQ(TabDH12[[#This Row],[:14]],TabDH12[[:1]:[:19]],0)</f>
        <v>134</v>
      </c>
      <c r="DT21" s="42">
        <f>_xlfn.RANK.EQ(TabDH12[[#This Row],[:15]],TabDH12[[:1]:[:19]],0)</f>
        <v>134</v>
      </c>
      <c r="DU21" s="42">
        <f>_xlfn.RANK.EQ(TabDH12[[#This Row],[:16]],TabDH12[[:1]:[:19]],0)</f>
        <v>134</v>
      </c>
      <c r="DV21" s="42">
        <f>_xlfn.RANK.EQ(TabDH12[[#This Row],[:17]],TabDH12[[:1]:[:19]],0)</f>
        <v>134</v>
      </c>
      <c r="DW21" s="42">
        <f>_xlfn.RANK.EQ(TabDH12[[#This Row],[:18]],TabDH12[[:1]:[:19]],0)</f>
        <v>134</v>
      </c>
      <c r="DX21" s="43">
        <f>_xlfn.RANK.EQ(TabDH12[[#This Row],[:19]],TabDH12[[:1]:[:19]],0)</f>
        <v>134</v>
      </c>
      <c r="DY21" s="44" t="str">
        <f>IF(TabDH12[[#This Row],[R1]]&lt;=Sitze_Ausschuss,IF(TabDH12[[#This Row],[R1]]+COUNTIF(TabDH12[[R1]:[R19]],TabDH12[[#This Row],[R1]])-1&lt;=Sitze_Ausschuss,"SITZ","PATT"),"")</f>
        <v/>
      </c>
      <c r="DZ21" s="45" t="str">
        <f>IF(TabDH12[[#This Row],[R2]]&lt;=Sitze_Ausschuss,IF(TabDH12[[#This Row],[R2]]+COUNTIF(TabDH12[[R1]:[R19]],TabDH12[[#This Row],[R2]])-1&lt;=Sitze_Ausschuss,"SITZ","PATT"),"")</f>
        <v/>
      </c>
      <c r="EA21" s="45" t="str">
        <f>IF(TabDH12[[#This Row],[R3]]&lt;=Sitze_Ausschuss,IF(TabDH12[[#This Row],[R3]]+COUNTIF(TabDH12[[R1]:[R19]],TabDH12[[#This Row],[R3]])-1&lt;=Sitze_Ausschuss,"SITZ","PATT"),"")</f>
        <v/>
      </c>
      <c r="EB21" s="45" t="str">
        <f>IF(TabDH12[[#This Row],[R4]]&lt;=Sitze_Ausschuss,IF(TabDH12[[#This Row],[R4]]+COUNTIF(TabDH12[[R1]:[R19]],TabDH12[[#This Row],[R4]])-1&lt;=Sitze_Ausschuss,"SITZ","PATT"),"")</f>
        <v/>
      </c>
      <c r="EC21" s="45" t="str">
        <f>IF(TabDH12[[#This Row],[R5]]&lt;=Sitze_Ausschuss,IF(TabDH12[[#This Row],[R5]]+COUNTIF(TabDH12[[R1]:[R19]],TabDH12[[#This Row],[R5]])-1&lt;=Sitze_Ausschuss,"SITZ","PATT"),"")</f>
        <v/>
      </c>
      <c r="ED21" s="45" t="str">
        <f>IF(TabDH12[[#This Row],[R6]]&lt;=Sitze_Ausschuss,IF(TabDH12[[#This Row],[R6]]+COUNTIF(TabDH12[[R1]:[R19]],TabDH12[[#This Row],[R6]])-1&lt;=Sitze_Ausschuss,"SITZ","PATT"),"")</f>
        <v/>
      </c>
      <c r="EE21" s="45" t="str">
        <f>IF(TabDH12[[#This Row],[R7]]&lt;=Sitze_Ausschuss,IF(TabDH12[[#This Row],[R7]]+COUNTIF(TabDH12[[R1]:[R19]],TabDH12[[#This Row],[R7]])-1&lt;=Sitze_Ausschuss,"SITZ","PATT"),"")</f>
        <v/>
      </c>
      <c r="EF21" s="45" t="str">
        <f>IF(TabDH12[[#This Row],[R8]]&lt;=Sitze_Ausschuss,IF(TabDH12[[#This Row],[R8]]+COUNTIF(TabDH12[[R1]:[R19]],TabDH12[[#This Row],[R8]])-1&lt;=Sitze_Ausschuss,"SITZ","PATT"),"")</f>
        <v/>
      </c>
      <c r="EG21" s="45" t="str">
        <f>IF(TabDH12[[#This Row],[R9]]&lt;=Sitze_Ausschuss,IF(TabDH12[[#This Row],[R9]]+COUNTIF(TabDH12[[R1]:[R19]],TabDH12[[#This Row],[R9]])-1&lt;=Sitze_Ausschuss,"SITZ","PATT"),"")</f>
        <v/>
      </c>
      <c r="EH21" s="45" t="str">
        <f>IF(TabDH12[[#This Row],[R10]]&lt;=Sitze_Ausschuss,IF(TabDH12[[#This Row],[R10]]+COUNTIF(TabDH12[[R1]:[R19]],TabDH12[[#This Row],[R10]])-1&lt;=Sitze_Ausschuss,"SITZ","PATT"),"")</f>
        <v/>
      </c>
      <c r="EI21" s="45" t="str">
        <f>IF(TabDH12[[#This Row],[R11]]&lt;=Sitze_Ausschuss,IF(TabDH12[[#This Row],[R11]]+COUNTIF(TabDH12[[R1]:[R19]],TabDH12[[#This Row],[R11]])-1&lt;=Sitze_Ausschuss,"SITZ","PATT"),"")</f>
        <v/>
      </c>
      <c r="EJ21" s="45" t="str">
        <f>IF(TabDH12[[#This Row],[R12]]&lt;=Sitze_Ausschuss,IF(TabDH12[[#This Row],[R12]]+COUNTIF(TabDH12[[R1]:[R19]],TabDH12[[#This Row],[R12]])-1&lt;=Sitze_Ausschuss,"SITZ","PATT"),"")</f>
        <v/>
      </c>
      <c r="EK21" s="45" t="str">
        <f>IF(TabDH12[[#This Row],[R13]]&lt;=Sitze_Ausschuss,IF(TabDH12[[#This Row],[R13]]+COUNTIF(TabDH12[[R1]:[R19]],TabDH12[[#This Row],[R13]])-1&lt;=Sitze_Ausschuss,"SITZ","PATT"),"")</f>
        <v/>
      </c>
      <c r="EL21" s="45" t="str">
        <f>IF(TabDH12[[#This Row],[R14]]&lt;=Sitze_Ausschuss,IF(TabDH12[[#This Row],[R14]]+COUNTIF(TabDH12[[R1]:[R19]],TabDH12[[#This Row],[R14]])-1&lt;=Sitze_Ausschuss,"SITZ","PATT"),"")</f>
        <v/>
      </c>
      <c r="EM21" s="45" t="str">
        <f>IF(TabDH12[[#This Row],[R15]]&lt;=Sitze_Ausschuss,IF(TabDH12[[#This Row],[R15]]+COUNTIF(TabDH12[[R1]:[R19]],TabDH12[[#This Row],[R15]])-1&lt;=Sitze_Ausschuss,"SITZ","PATT"),"")</f>
        <v/>
      </c>
      <c r="EN21" s="45" t="str">
        <f>IF(TabDH12[[#This Row],[R16]]&lt;=Sitze_Ausschuss,IF(TabDH12[[#This Row],[R16]]+COUNTIF(TabDH12[[R1]:[R19]],TabDH12[[#This Row],[R16]])-1&lt;=Sitze_Ausschuss,"SITZ","PATT"),"")</f>
        <v/>
      </c>
      <c r="EO21" s="45" t="str">
        <f>IF(TabDH12[[#This Row],[R17]]&lt;=Sitze_Ausschuss,IF(TabDH12[[#This Row],[R17]]+COUNTIF(TabDH12[[R1]:[R19]],TabDH12[[#This Row],[R17]])-1&lt;=Sitze_Ausschuss,"SITZ","PATT"),"")</f>
        <v/>
      </c>
      <c r="EP21" s="45" t="str">
        <f>IF(TabDH12[[#This Row],[R18]]&lt;=Sitze_Ausschuss,IF(TabDH12[[#This Row],[R18]]+COUNTIF(TabDH12[[R1]:[R19]],TabDH12[[#This Row],[R18]])-1&lt;=Sitze_Ausschuss,"SITZ","PATT"),"")</f>
        <v/>
      </c>
      <c r="EQ21" s="45" t="str">
        <f>IF(TabDH12[[#This Row],[R19]]&lt;=Sitze_Ausschuss,IF(TabDH12[[#This Row],[R19]]+COUNTIF(TabDH12[[R1]:[R19]],TabDH12[[#This Row],[R19]])-1&lt;=Sitze_Ausschuss,"SITZ","PATT"),"")</f>
        <v/>
      </c>
      <c r="ER21" s="47" t="b">
        <f>COUNTIF(TabDH12[[#This Row],[SP1]:[SP19]],"PATT")&gt;0</f>
        <v>0</v>
      </c>
      <c r="ES21" s="33">
        <f>IF(TabDH12[[#This Row],[Patt]],(Sitze_Ausschuss-SUM(TabDH12[Sitze]))/TabDH12[[#Totals],[Patt]],0)</f>
        <v>0</v>
      </c>
      <c r="ET21" s="48">
        <f>TabDH12[[#This Row],[Patt]]*IF(Pattaufloesung="Stimmen",TabPatt11[[#This Row],[Stimmen]],0)*1</f>
        <v>0</v>
      </c>
      <c r="EU21" s="49" t="b">
        <f>_xlfn.RANK.EQ(TabDH12[[#This Row],[Stimmen/Gelost]],TabDH12[Stimmen/Gelost],0)&lt;=(Sitze_Ausschuss-SUM(TabDH12[Sitze]))</f>
        <v>1</v>
      </c>
      <c r="EV21" s="50" t="b">
        <f>OR(TabDH12[[#This Row],[Sitze]]&lt;ROUNDDOWN(Grunddaten7[[#This Row],[Proporzgenaue Zahl Ausschuss]],0),TabDH12[[#This Row],[Sitze]]+(TabDH12[[#This Row],[Patt]]*1)&gt;ROUNDUP(Grunddaten7[[#This Row],[Proporzgenaue Zahl Ausschuss]],0))</f>
        <v>0</v>
      </c>
      <c r="EW21" s="3"/>
      <c r="EX21" s="51" t="str">
        <f>Grunddaten7[[#This Row],[Partei/Wählergruppe]]&amp;""</f>
        <v/>
      </c>
      <c r="EY21" s="51">
        <f t="shared" si="6"/>
        <v>0</v>
      </c>
      <c r="EZ21" s="3"/>
      <c r="FA21" s="3"/>
      <c r="FB21" s="3"/>
      <c r="FC21" s="3"/>
      <c r="FD21" s="3"/>
    </row>
    <row r="22" spans="1:160" ht="15.75" thickBot="1" x14ac:dyDescent="0.3">
      <c r="A22" s="3"/>
      <c r="B22" s="148" t="s">
        <v>151</v>
      </c>
      <c r="C22" s="149">
        <f>SUBTOTAL(109,Grunddaten7[Sitze im Hauptorgan])</f>
        <v>70</v>
      </c>
      <c r="D22" s="169">
        <f>SUBTOTAL(109,Grunddaten7[Proporzgenaue Zahl Ausschuss])</f>
        <v>14</v>
      </c>
      <c r="E22" s="63" t="s">
        <v>152</v>
      </c>
      <c r="F22" s="64" t="s">
        <v>152</v>
      </c>
      <c r="G22" s="64" t="s">
        <v>152</v>
      </c>
      <c r="H22" s="65" t="s">
        <v>152</v>
      </c>
      <c r="I22" s="160"/>
      <c r="J22" s="160"/>
      <c r="K22" s="161"/>
      <c r="L22" s="54"/>
      <c r="M22" s="58">
        <f>SUBTOTAL(109,TabHN9[Sitze])</f>
        <v>14</v>
      </c>
      <c r="N22" s="59">
        <f>SUBTOTAL(109,TabHN9[Patt Auflösung])</f>
        <v>0</v>
      </c>
      <c r="O22" s="60">
        <f>SUBTOTAL(109,TabHN9[S ganz])</f>
        <v>12</v>
      </c>
      <c r="P22" s="60">
        <f>ROUND(SUM(TabHN9[S Rest]),0)</f>
        <v>2</v>
      </c>
      <c r="Q22" s="60"/>
      <c r="R22" s="60">
        <f>COUNTIF(TabHN9[Patt],"=WAHR")*(-1)+SUM(TabHN9[Restsitz])</f>
        <v>2</v>
      </c>
      <c r="S22" s="60">
        <f t="array" ref="S22">SUM(TabHN9[Patt]*1)</f>
        <v>0</v>
      </c>
      <c r="T22" s="60">
        <f>ROUND(SUM(TabHN9[Los Chance]),0)</f>
        <v>0</v>
      </c>
      <c r="U22" s="60"/>
      <c r="V22" s="59"/>
      <c r="W22" s="55"/>
      <c r="X22" s="61">
        <f>SUBTOTAL(109,TabSLS10[Sitze])</f>
        <v>14</v>
      </c>
      <c r="Y22" s="62">
        <f>SUBTOTAL(109,TabSLS10[Patt Auflösung])</f>
        <v>0</v>
      </c>
      <c r="Z22" s="63"/>
      <c r="AA22" s="64"/>
      <c r="AB22" s="64"/>
      <c r="AC22" s="64"/>
      <c r="AD22" s="64"/>
      <c r="AE22" s="64"/>
      <c r="AF22" s="64"/>
      <c r="AG22" s="64"/>
      <c r="AH22" s="64"/>
      <c r="AI22" s="64"/>
      <c r="AJ22" s="64"/>
      <c r="AK22" s="64"/>
      <c r="AL22" s="64"/>
      <c r="AM22" s="64"/>
      <c r="AN22" s="64"/>
      <c r="AO22" s="64"/>
      <c r="AP22" s="64"/>
      <c r="AQ22" s="64"/>
      <c r="AR22" s="65"/>
      <c r="AS22" s="63"/>
      <c r="AT22" s="64"/>
      <c r="AU22" s="64"/>
      <c r="AV22" s="64"/>
      <c r="AW22" s="64"/>
      <c r="AX22" s="64"/>
      <c r="AY22" s="64"/>
      <c r="AZ22" s="64"/>
      <c r="BA22" s="64"/>
      <c r="BB22" s="64"/>
      <c r="BC22" s="64"/>
      <c r="BD22" s="64"/>
      <c r="BE22" s="64"/>
      <c r="BF22" s="64"/>
      <c r="BG22" s="64"/>
      <c r="BH22" s="64"/>
      <c r="BI22" s="64"/>
      <c r="BJ22" s="64"/>
      <c r="BK22" s="65"/>
      <c r="BL22" s="66"/>
      <c r="BM22" s="67"/>
      <c r="BN22" s="67"/>
      <c r="BO22" s="67"/>
      <c r="BP22" s="67"/>
      <c r="BQ22" s="67"/>
      <c r="BR22" s="67"/>
      <c r="BS22" s="67"/>
      <c r="BT22" s="67"/>
      <c r="BU22" s="67"/>
      <c r="BV22" s="67"/>
      <c r="BW22" s="67"/>
      <c r="BX22" s="67"/>
      <c r="BY22" s="67"/>
      <c r="BZ22" s="67"/>
      <c r="CA22" s="67"/>
      <c r="CB22" s="67"/>
      <c r="CC22" s="67"/>
      <c r="CD22" s="68"/>
      <c r="CE22" s="63">
        <f t="array" ref="CE22">SUM(TabSLS10[Patt?]*1)</f>
        <v>0</v>
      </c>
      <c r="CF22" s="64">
        <f>ROUND(SUM(TabSLS10[Los Chance]),0)</f>
        <v>0</v>
      </c>
      <c r="CG22" s="64"/>
      <c r="CH22" s="65"/>
      <c r="CI22" s="69">
        <f>SUBTOTAL(103,TabSLS10[QK verletzt])</f>
        <v>15</v>
      </c>
      <c r="CJ22" s="3"/>
      <c r="CK22" s="61">
        <f>SUBTOTAL(109,TabDH12[Sitze])</f>
        <v>12</v>
      </c>
      <c r="CL22" s="62">
        <f>SUBTOTAL(109,TabDH12[Patt Auflösung])</f>
        <v>2</v>
      </c>
      <c r="CM22" s="63"/>
      <c r="CN22" s="64"/>
      <c r="CO22" s="64"/>
      <c r="CP22" s="64"/>
      <c r="CQ22" s="64"/>
      <c r="CR22" s="64"/>
      <c r="CS22" s="64"/>
      <c r="CT22" s="64"/>
      <c r="CU22" s="64"/>
      <c r="CV22" s="64"/>
      <c r="CW22" s="64"/>
      <c r="CX22" s="64"/>
      <c r="CY22" s="64"/>
      <c r="CZ22" s="64"/>
      <c r="DA22" s="64"/>
      <c r="DB22" s="64"/>
      <c r="DC22" s="64"/>
      <c r="DD22" s="64"/>
      <c r="DE22" s="65"/>
      <c r="DF22" s="63"/>
      <c r="DG22" s="64"/>
      <c r="DH22" s="64"/>
      <c r="DI22" s="64"/>
      <c r="DJ22" s="64"/>
      <c r="DK22" s="64"/>
      <c r="DL22" s="64"/>
      <c r="DM22" s="64"/>
      <c r="DN22" s="64"/>
      <c r="DO22" s="64"/>
      <c r="DP22" s="64"/>
      <c r="DQ22" s="64"/>
      <c r="DR22" s="64"/>
      <c r="DS22" s="64"/>
      <c r="DT22" s="64"/>
      <c r="DU22" s="64"/>
      <c r="DV22" s="64"/>
      <c r="DW22" s="64"/>
      <c r="DX22" s="65"/>
      <c r="DY22" s="66"/>
      <c r="DZ22" s="67"/>
      <c r="EA22" s="67"/>
      <c r="EB22" s="67"/>
      <c r="EC22" s="67"/>
      <c r="ED22" s="67"/>
      <c r="EE22" s="67"/>
      <c r="EF22" s="67"/>
      <c r="EG22" s="67"/>
      <c r="EH22" s="67"/>
      <c r="EI22" s="67"/>
      <c r="EJ22" s="67"/>
      <c r="EK22" s="67"/>
      <c r="EL22" s="67"/>
      <c r="EM22" s="67"/>
      <c r="EN22" s="67"/>
      <c r="EO22" s="67"/>
      <c r="EP22" s="67"/>
      <c r="EQ22" s="67"/>
      <c r="ER22" s="63">
        <f t="array" ref="ER22">SUM(TabDH12[Patt]*1)</f>
        <v>4</v>
      </c>
      <c r="ES22" s="64">
        <f>ROUND(SUM(TabDH12[Los Chance]),0)</f>
        <v>2</v>
      </c>
      <c r="ET22" s="64"/>
      <c r="EU22" s="65"/>
      <c r="EV22" s="69">
        <f>SUBTOTAL(103,TabDH12[QK verletzt])</f>
        <v>15</v>
      </c>
      <c r="EW22" s="3"/>
      <c r="EX22" s="85" t="s">
        <v>152</v>
      </c>
      <c r="EY22" s="86">
        <f>SUBTOTAL(109,TabPatt11[Stimmen])</f>
        <v>21851</v>
      </c>
      <c r="EZ22" s="3"/>
      <c r="FA22" s="3"/>
      <c r="FB22" s="3"/>
      <c r="FC22" s="3"/>
      <c r="FD22" s="3"/>
    </row>
    <row r="23" spans="1:160" x14ac:dyDescent="0.25">
      <c r="A23" s="3"/>
      <c r="B23" s="3"/>
      <c r="C23" s="3"/>
      <c r="D23" s="3"/>
      <c r="E23" s="3"/>
      <c r="F23" s="3"/>
      <c r="G23" s="3"/>
      <c r="H23" s="3"/>
      <c r="I23" s="3"/>
      <c r="J23" s="3"/>
      <c r="K23" s="3"/>
      <c r="L23" s="54"/>
      <c r="M23" s="3"/>
      <c r="N23" s="3"/>
      <c r="O23" s="3"/>
      <c r="P23" s="3"/>
      <c r="Q23" s="3"/>
      <c r="R23" s="3"/>
      <c r="S23" s="55"/>
      <c r="T23" s="55"/>
      <c r="U23" s="55"/>
      <c r="V23" s="55"/>
      <c r="W23" s="55"/>
      <c r="X23" s="55"/>
      <c r="Y23" s="55"/>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row>
    <row r="24" spans="1:160" x14ac:dyDescent="0.25">
      <c r="A24" s="3"/>
      <c r="B24" s="183" t="s">
        <v>254</v>
      </c>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c r="CC24" s="183"/>
      <c r="CD24" s="183"/>
      <c r="CE24" s="183"/>
      <c r="CF24" s="183"/>
      <c r="CG24" s="183"/>
      <c r="CH24" s="183"/>
      <c r="CI24" s="183"/>
      <c r="CJ24" s="183"/>
      <c r="CK24" s="183"/>
      <c r="CL24" s="183"/>
      <c r="CM24" s="183"/>
      <c r="CN24" s="183"/>
      <c r="CO24" s="183"/>
      <c r="CP24" s="183"/>
      <c r="CQ24" s="183"/>
      <c r="CR24" s="183"/>
      <c r="CS24" s="183"/>
      <c r="CT24" s="183"/>
      <c r="CU24" s="183"/>
      <c r="CV24" s="183"/>
      <c r="CW24" s="183"/>
      <c r="CX24" s="183"/>
      <c r="CY24" s="183"/>
      <c r="CZ24" s="183"/>
      <c r="DA24" s="183"/>
      <c r="DB24" s="183"/>
      <c r="DC24" s="183"/>
      <c r="DD24" s="183"/>
      <c r="DE24" s="183"/>
      <c r="DF24" s="183"/>
      <c r="DG24" s="183"/>
      <c r="DH24" s="183"/>
      <c r="DI24" s="183"/>
      <c r="DJ24" s="183"/>
      <c r="DK24" s="183"/>
      <c r="DL24" s="183"/>
      <c r="DM24" s="183"/>
      <c r="DN24" s="183"/>
      <c r="DO24" s="183"/>
      <c r="DP24" s="183"/>
      <c r="DQ24" s="183"/>
      <c r="DR24" s="183"/>
      <c r="DS24" s="183"/>
      <c r="DT24" s="183"/>
      <c r="DU24" s="183"/>
      <c r="DV24" s="183"/>
      <c r="DW24" s="183"/>
      <c r="DX24" s="183"/>
      <c r="DY24" s="183"/>
      <c r="DZ24" s="183"/>
      <c r="EA24" s="183"/>
      <c r="EB24" s="183"/>
      <c r="EC24" s="183"/>
      <c r="ED24" s="183"/>
      <c r="EE24" s="183"/>
      <c r="EF24" s="183"/>
      <c r="EG24" s="183"/>
      <c r="EH24" s="183"/>
      <c r="EI24" s="183"/>
      <c r="EJ24" s="183"/>
      <c r="EK24" s="183"/>
      <c r="EL24" s="183"/>
      <c r="EM24" s="183"/>
      <c r="EN24" s="183"/>
      <c r="EO24" s="183"/>
      <c r="EP24" s="183"/>
      <c r="EQ24" s="183"/>
      <c r="ER24" s="183"/>
      <c r="ES24" s="183"/>
      <c r="ET24" s="183"/>
      <c r="EU24" s="183"/>
      <c r="EV24" s="183"/>
      <c r="EW24" s="183"/>
      <c r="EX24" s="183"/>
      <c r="EY24" s="183"/>
      <c r="EZ24" s="3"/>
      <c r="FA24" s="3"/>
      <c r="FB24" s="3"/>
      <c r="FC24" s="3"/>
      <c r="FD24" s="3"/>
    </row>
    <row r="25" spans="1:160" s="77" customFormat="1" x14ac:dyDescent="0.25">
      <c r="B25" s="3"/>
      <c r="C25" s="3"/>
      <c r="D25" s="3"/>
      <c r="E25" s="3"/>
      <c r="F25" s="3"/>
      <c r="G25" s="3"/>
      <c r="H25" s="3"/>
      <c r="I25" s="3"/>
      <c r="J25" s="3"/>
      <c r="K25" s="3"/>
      <c r="M25" s="3"/>
      <c r="N25" s="3"/>
      <c r="O25" s="3"/>
      <c r="P25" s="3"/>
      <c r="Q25" s="3"/>
      <c r="R25" s="3"/>
      <c r="S25" s="55"/>
      <c r="T25" s="55"/>
      <c r="U25" s="55"/>
      <c r="V25" s="55"/>
      <c r="X25" s="55"/>
      <c r="Y25" s="55"/>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X25" s="3"/>
      <c r="EY25" s="3"/>
    </row>
    <row r="26" spans="1:160" x14ac:dyDescent="0.25">
      <c r="A26" s="3"/>
      <c r="B26" s="3"/>
      <c r="C26" s="3"/>
      <c r="D26" s="3"/>
      <c r="E26" s="3"/>
      <c r="F26" s="3"/>
      <c r="G26" s="3"/>
      <c r="H26" s="3"/>
      <c r="I26" s="3"/>
      <c r="J26" s="3"/>
      <c r="K26" s="3"/>
      <c r="L26" s="54"/>
      <c r="M26" s="3"/>
      <c r="N26" s="3"/>
      <c r="O26" s="3"/>
      <c r="P26" s="3"/>
      <c r="Q26" s="3"/>
      <c r="R26" s="3"/>
      <c r="S26" s="55"/>
      <c r="T26" s="55"/>
      <c r="U26" s="55"/>
      <c r="V26" s="55"/>
      <c r="W26" s="55"/>
      <c r="X26" s="55"/>
      <c r="Y26" s="55"/>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row>
    <row r="27" spans="1:160" x14ac:dyDescent="0.25">
      <c r="A27" s="3"/>
      <c r="B27" s="77"/>
      <c r="C27" s="77"/>
      <c r="D27" s="77"/>
      <c r="E27" s="77"/>
      <c r="F27" s="77"/>
      <c r="G27" s="77"/>
      <c r="H27" s="77"/>
      <c r="I27" s="77"/>
      <c r="J27" s="77"/>
      <c r="K27" s="77"/>
      <c r="L27" s="54"/>
      <c r="M27" s="77"/>
      <c r="N27" s="77"/>
      <c r="O27" s="77"/>
      <c r="P27" s="77"/>
      <c r="Q27" s="77"/>
      <c r="R27" s="77"/>
      <c r="S27" s="77"/>
      <c r="T27" s="77"/>
      <c r="U27" s="77"/>
      <c r="V27" s="77"/>
      <c r="W27" s="3"/>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77"/>
      <c r="CD27" s="77"/>
      <c r="CE27" s="77"/>
      <c r="CF27" s="77"/>
      <c r="CG27" s="77"/>
      <c r="CH27" s="77"/>
      <c r="CI27" s="77"/>
      <c r="CJ27" s="3"/>
      <c r="CK27" s="77"/>
      <c r="CL27" s="77"/>
      <c r="CM27" s="77"/>
      <c r="CN27" s="77"/>
      <c r="CO27" s="77"/>
      <c r="CP27" s="77"/>
      <c r="CQ27" s="77"/>
      <c r="CR27" s="77"/>
      <c r="CS27" s="77"/>
      <c r="CT27" s="77"/>
      <c r="CU27" s="77"/>
      <c r="CV27" s="77"/>
      <c r="CW27" s="77"/>
      <c r="CX27" s="77"/>
      <c r="CY27" s="77"/>
      <c r="CZ27" s="77"/>
      <c r="DA27" s="77"/>
      <c r="DB27" s="77"/>
      <c r="DC27" s="77"/>
      <c r="DD27" s="77"/>
      <c r="DE27" s="77"/>
      <c r="DF27" s="77"/>
      <c r="DG27" s="77"/>
      <c r="DH27" s="77"/>
      <c r="DI27" s="77"/>
      <c r="DJ27" s="77"/>
      <c r="DK27" s="77"/>
      <c r="DL27" s="77"/>
      <c r="DM27" s="77"/>
      <c r="DN27" s="77"/>
      <c r="DO27" s="77"/>
      <c r="DP27" s="77"/>
      <c r="DQ27" s="77"/>
      <c r="DR27" s="77"/>
      <c r="DS27" s="77"/>
      <c r="DT27" s="77"/>
      <c r="DU27" s="77"/>
      <c r="DV27" s="77"/>
      <c r="DW27" s="77"/>
      <c r="DX27" s="77"/>
      <c r="DY27" s="77"/>
      <c r="DZ27" s="77"/>
      <c r="EA27" s="77"/>
      <c r="EB27" s="77"/>
      <c r="EC27" s="77"/>
      <c r="ED27" s="77"/>
      <c r="EE27" s="77"/>
      <c r="EF27" s="77"/>
      <c r="EG27" s="77"/>
      <c r="EH27" s="77"/>
      <c r="EI27" s="77"/>
      <c r="EJ27" s="77"/>
      <c r="EK27" s="77"/>
      <c r="EL27" s="77"/>
      <c r="EM27" s="77"/>
      <c r="EN27" s="77"/>
      <c r="EO27" s="77"/>
      <c r="EP27" s="77"/>
      <c r="EQ27" s="77"/>
      <c r="ER27" s="77"/>
      <c r="ES27" s="77"/>
      <c r="ET27" s="77"/>
      <c r="EU27" s="77"/>
      <c r="EV27" s="77"/>
      <c r="EW27" s="3"/>
      <c r="EX27" s="77"/>
      <c r="EY27" s="77"/>
      <c r="EZ27" s="3"/>
      <c r="FA27" s="3"/>
      <c r="FB27" s="3"/>
      <c r="FC27" s="3"/>
      <c r="FD27" s="3"/>
    </row>
    <row r="28" spans="1:160" x14ac:dyDescent="0.25">
      <c r="A28" s="3"/>
      <c r="B28" s="3"/>
      <c r="C28" s="3"/>
      <c r="D28" s="3"/>
      <c r="E28" s="3"/>
      <c r="F28" s="3"/>
      <c r="G28" s="3"/>
      <c r="H28" s="3"/>
      <c r="I28" s="3"/>
      <c r="J28" s="3"/>
      <c r="K28" s="3"/>
      <c r="L28" s="54"/>
      <c r="M28" s="3"/>
      <c r="N28" s="3"/>
      <c r="O28" s="3"/>
      <c r="P28" s="3"/>
      <c r="Q28" s="3"/>
      <c r="R28" s="3"/>
      <c r="S28" s="55"/>
      <c r="T28" s="55"/>
      <c r="U28" s="55"/>
      <c r="V28" s="55"/>
      <c r="W28" s="3"/>
      <c r="X28" s="55"/>
      <c r="Y28" s="55"/>
      <c r="Z28" s="3"/>
      <c r="AA28" s="3"/>
      <c r="AB28" s="3"/>
      <c r="AC28" s="3"/>
      <c r="AD28" s="3"/>
      <c r="AE28" s="3"/>
      <c r="AF28" s="3">
        <f t="array" ref="AF28">MAX(Z7:AR21/AS7:BK21)</f>
        <v>20</v>
      </c>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row>
    <row r="29" spans="1:160" x14ac:dyDescent="0.25">
      <c r="A29" s="3"/>
      <c r="B29" s="3"/>
      <c r="C29" s="3"/>
      <c r="D29" s="3"/>
      <c r="E29" s="3"/>
      <c r="F29" s="3"/>
      <c r="G29" s="3"/>
      <c r="H29" s="3"/>
      <c r="I29" s="3"/>
      <c r="J29" s="3"/>
      <c r="K29" s="3"/>
      <c r="L29" s="54"/>
      <c r="M29" s="3"/>
      <c r="N29" s="3"/>
      <c r="O29" s="3"/>
      <c r="P29" s="3"/>
      <c r="Q29" s="3"/>
      <c r="R29" s="3"/>
      <c r="S29" s="3"/>
      <c r="T29" s="3"/>
      <c r="U29" s="3"/>
      <c r="V29" s="3"/>
      <c r="W29" s="3"/>
      <c r="X29" s="55"/>
      <c r="Y29" s="55"/>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row>
    <row r="30" spans="1:160"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row>
    <row r="31" spans="1:160"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row>
    <row r="32" spans="1:160"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row>
    <row r="33" spans="1:160"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row>
    <row r="34" spans="1:160"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row>
    <row r="35" spans="1:160"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row>
    <row r="36" spans="1:160"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row>
    <row r="37" spans="1:160"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row>
    <row r="38" spans="1:160"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row>
    <row r="39" spans="1:160"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row>
    <row r="40" spans="1:160"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row>
    <row r="41" spans="1:160"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row>
    <row r="42" spans="1:160"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row>
    <row r="43" spans="1:160" x14ac:dyDescent="0.25">
      <c r="B43" s="3"/>
      <c r="C43" s="3"/>
      <c r="D43" s="3"/>
      <c r="E43" s="3"/>
      <c r="F43" s="3"/>
      <c r="G43" s="3"/>
      <c r="H43" s="3"/>
      <c r="I43" s="3"/>
      <c r="J43" s="3"/>
      <c r="K43" s="3"/>
      <c r="M43" s="3"/>
      <c r="N43" s="3"/>
      <c r="O43" s="3"/>
      <c r="P43" s="3"/>
      <c r="Q43" s="3"/>
      <c r="R43" s="3"/>
      <c r="S43" s="3"/>
      <c r="T43" s="3"/>
      <c r="U43" s="3"/>
      <c r="V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X43" s="3"/>
      <c r="EY43" s="3"/>
    </row>
    <row r="44" spans="1:160" x14ac:dyDescent="0.25">
      <c r="B44" s="3"/>
      <c r="C44" s="3"/>
      <c r="D44" s="3"/>
      <c r="E44" s="3"/>
      <c r="F44" s="3"/>
      <c r="G44" s="3"/>
      <c r="H44" s="3"/>
      <c r="I44" s="3"/>
      <c r="J44" s="3"/>
      <c r="K44" s="3"/>
      <c r="M44" s="3"/>
      <c r="N44" s="3"/>
      <c r="O44" s="3"/>
      <c r="P44" s="3"/>
      <c r="Q44" s="3"/>
      <c r="R44" s="3"/>
      <c r="S44" s="3"/>
      <c r="T44" s="3"/>
      <c r="U44" s="3"/>
      <c r="V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X44" s="3"/>
      <c r="EY44" s="3"/>
    </row>
    <row r="45" spans="1:160" x14ac:dyDescent="0.25">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EX45" s="3"/>
      <c r="EY45" s="3"/>
    </row>
  </sheetData>
  <sheetProtection algorithmName="SHA-512" hashValue="KykWT4QNphnC7BVvjfz8dTCTHLXBGeBslxVFTDc8DE6sjw0QxB0RFBbbNrKVtpbGi5p6DFPm4i2VhYkTGV+HvQ==" saltValue="J0Qvte879PIhcRMCyr2G0A==" spinCount="100000" sheet="1" objects="1" scenarios="1"/>
  <mergeCells count="16">
    <mergeCell ref="I5:K5"/>
    <mergeCell ref="E5:H5"/>
    <mergeCell ref="B24:EY24"/>
    <mergeCell ref="ER5:EU5"/>
    <mergeCell ref="EX5:EY5"/>
    <mergeCell ref="BL5:CD5"/>
    <mergeCell ref="CE5:CH5"/>
    <mergeCell ref="CK5:CL5"/>
    <mergeCell ref="CM5:DE5"/>
    <mergeCell ref="DF5:DX5"/>
    <mergeCell ref="DY5:EQ5"/>
    <mergeCell ref="B5:C5"/>
    <mergeCell ref="M5:N5"/>
    <mergeCell ref="X5:Y5"/>
    <mergeCell ref="Z5:AR5"/>
    <mergeCell ref="AS5:BK5"/>
  </mergeCells>
  <conditionalFormatting sqref="N7:N21">
    <cfRule type="expression" dxfId="419" priority="31">
      <formula>$S7</formula>
    </cfRule>
  </conditionalFormatting>
  <conditionalFormatting sqref="R7:R21">
    <cfRule type="expression" dxfId="418" priority="29">
      <formula>AND(R7,NOT(S7))</formula>
    </cfRule>
  </conditionalFormatting>
  <conditionalFormatting sqref="R7:S21">
    <cfRule type="expression" dxfId="417" priority="28">
      <formula>AND($R7,$S7)</formula>
    </cfRule>
  </conditionalFormatting>
  <conditionalFormatting sqref="DY7:EQ17 BL7:CD21 DY21:EQ21">
    <cfRule type="cellIs" dxfId="416" priority="26" operator="equal">
      <formula>"PATT"</formula>
    </cfRule>
    <cfRule type="cellIs" dxfId="415" priority="27" operator="equal">
      <formula>"SITZ"</formula>
    </cfRule>
  </conditionalFormatting>
  <conditionalFormatting sqref="AS7:BK21 DF7:DX21">
    <cfRule type="expression" dxfId="414" priority="24">
      <formula>(BL7="PATT")</formula>
    </cfRule>
    <cfRule type="expression" dxfId="413" priority="25">
      <formula>(BL7="SITZ")</formula>
    </cfRule>
  </conditionalFormatting>
  <conditionalFormatting sqref="Z7:AR21 CM7:DE21">
    <cfRule type="expression" dxfId="412" priority="22">
      <formula>(BL7="PATT")</formula>
    </cfRule>
    <cfRule type="expression" dxfId="411" priority="23">
      <formula>(BL7="SITZ")</formula>
    </cfRule>
  </conditionalFormatting>
  <conditionalFormatting sqref="ER7:ER17 CE7:CE17 CE21 ER21">
    <cfRule type="cellIs" dxfId="410" priority="21" operator="equal">
      <formula>TRUE</formula>
    </cfRule>
  </conditionalFormatting>
  <conditionalFormatting sqref="Y7:Y21">
    <cfRule type="expression" dxfId="409" priority="32">
      <formula>(CE7)</formula>
    </cfRule>
  </conditionalFormatting>
  <conditionalFormatting sqref="CL7:CL21">
    <cfRule type="expression" dxfId="408" priority="30">
      <formula>$ER7</formula>
    </cfRule>
  </conditionalFormatting>
  <conditionalFormatting sqref="F7:H21 K7:K21">
    <cfRule type="cellIs" dxfId="407" priority="18" operator="equal">
      <formula>"NOK"</formula>
    </cfRule>
  </conditionalFormatting>
  <conditionalFormatting sqref="C22">
    <cfRule type="expression" dxfId="406" priority="16">
      <formula>(C22&lt;&gt;C1)</formula>
    </cfRule>
    <cfRule type="expression" dxfId="405" priority="17">
      <formula>(C22=C1)</formula>
    </cfRule>
  </conditionalFormatting>
  <conditionalFormatting sqref="O7:O21">
    <cfRule type="dataBar" priority="35">
      <dataBar>
        <cfvo type="min"/>
        <cfvo type="max"/>
        <color rgb="FF92D050"/>
      </dataBar>
      <extLst>
        <ext xmlns:x14="http://schemas.microsoft.com/office/spreadsheetml/2009/9/main" uri="{B025F937-C7B1-47D3-B67F-A62EFF666E3E}">
          <x14:id>{97C3AF49-93CB-43D0-9FD0-3A58C8D9BE7D}</x14:id>
        </ext>
      </extLst>
    </cfRule>
  </conditionalFormatting>
  <conditionalFormatting sqref="M7:M21 X7:X21 CK7:CK21">
    <cfRule type="dataBar" priority="37">
      <dataBar>
        <cfvo type="min"/>
        <cfvo type="max"/>
        <color rgb="FF92D050"/>
      </dataBar>
      <extLst>
        <ext xmlns:x14="http://schemas.microsoft.com/office/spreadsheetml/2009/9/main" uri="{B025F937-C7B1-47D3-B67F-A62EFF666E3E}">
          <x14:id>{C09AADB5-8EB1-4F36-8E32-2889AABB71F4}</x14:id>
        </ext>
      </extLst>
    </cfRule>
  </conditionalFormatting>
  <conditionalFormatting sqref="N7:N21 Y7:Y21 CL7:CL21">
    <cfRule type="dataBar" priority="38">
      <dataBar>
        <cfvo type="min"/>
        <cfvo type="num" val="1"/>
        <color rgb="FFFFFF00"/>
      </dataBar>
      <extLst>
        <ext xmlns:x14="http://schemas.microsoft.com/office/spreadsheetml/2009/9/main" uri="{B025F937-C7B1-47D3-B67F-A62EFF666E3E}">
          <x14:id>{8A3B89C4-8AA3-4B95-9B1D-8CD3208B9058}</x14:id>
        </ext>
      </extLst>
    </cfRule>
  </conditionalFormatting>
  <conditionalFormatting sqref="D7:D21">
    <cfRule type="dataBar" priority="39">
      <dataBar>
        <cfvo type="min"/>
        <cfvo type="max"/>
        <color theme="0" tint="-0.499984740745262"/>
      </dataBar>
      <extLst>
        <ext xmlns:x14="http://schemas.microsoft.com/office/spreadsheetml/2009/9/main" uri="{B025F937-C7B1-47D3-B67F-A62EFF666E3E}">
          <x14:id>{8FB2EFB5-2EED-4F40-92E3-BECB9885F89A}</x14:id>
        </ext>
      </extLst>
    </cfRule>
  </conditionalFormatting>
  <conditionalFormatting sqref="CE18:CE20">
    <cfRule type="cellIs" dxfId="404" priority="15" operator="equal">
      <formula>TRUE</formula>
    </cfRule>
  </conditionalFormatting>
  <conditionalFormatting sqref="DY18:EQ20">
    <cfRule type="cellIs" dxfId="403" priority="13" operator="equal">
      <formula>"PATT"</formula>
    </cfRule>
    <cfRule type="cellIs" dxfId="402" priority="14" operator="equal">
      <formula>"SITZ"</formula>
    </cfRule>
  </conditionalFormatting>
  <conditionalFormatting sqref="ER18:ER20">
    <cfRule type="cellIs" dxfId="401" priority="12" operator="equal">
      <formula>TRUE</formula>
    </cfRule>
  </conditionalFormatting>
  <conditionalFormatting sqref="I7:J22">
    <cfRule type="cellIs" dxfId="400" priority="11" operator="equal">
      <formula>"NOK"</formula>
    </cfRule>
  </conditionalFormatting>
  <conditionalFormatting sqref="X7:Y21">
    <cfRule type="expression" dxfId="399" priority="259">
      <formula>$CI7</formula>
    </cfRule>
  </conditionalFormatting>
  <conditionalFormatting sqref="CK7:CL21">
    <cfRule type="expression" dxfId="398" priority="262">
      <formula>$EV7</formula>
    </cfRule>
  </conditionalFormatting>
  <conditionalFormatting sqref="CL22">
    <cfRule type="expression" dxfId="397" priority="263">
      <formula>(ROUND(CK22+CL22,0)&lt;&gt;C2)</formula>
    </cfRule>
  </conditionalFormatting>
  <conditionalFormatting sqref="Y22">
    <cfRule type="expression" dxfId="396" priority="264">
      <formula>(ROUND(X22+Y22,0)&lt;&gt;C2)</formula>
    </cfRule>
  </conditionalFormatting>
  <conditionalFormatting sqref="N22">
    <cfRule type="expression" dxfId="395" priority="265">
      <formula>(ROUND(N22+M22,0)&lt;&gt;C2)</formula>
    </cfRule>
  </conditionalFormatting>
  <conditionalFormatting sqref="M7:N21 I7:I21">
    <cfRule type="expression" dxfId="394" priority="3">
      <formula>AND($M7+$N7&lt;1,$I7&gt;=1)</formula>
    </cfRule>
  </conditionalFormatting>
  <conditionalFormatting sqref="J7:J21 X7:Y21">
    <cfRule type="expression" dxfId="393" priority="2">
      <formula>AND($X7+$Y7&lt;1,$J7&gt;=1)</formula>
    </cfRule>
  </conditionalFormatting>
  <conditionalFormatting sqref="K7:K21 CK7:CL21">
    <cfRule type="expression" dxfId="392" priority="1">
      <formula>AND($CK7+$CL7&lt;1,$K7&gt;=1)</formula>
    </cfRule>
  </conditionalFormatting>
  <dataValidations count="2">
    <dataValidation type="list" allowBlank="1" showInputMessage="1" showErrorMessage="1" sqref="C4">
      <formula1>"1,2,3,4,5,6,7,8,9,10,11,12"</formula1>
    </dataValidation>
    <dataValidation type="list" allowBlank="1" showInputMessage="1" showErrorMessage="1" sqref="C3">
      <formula1>"Los-Chance,Stimmen"</formula1>
    </dataValidation>
  </dataValidations>
  <pageMargins left="0.7" right="0.7" top="0.78740157499999996" bottom="0.78740157499999996" header="0.3" footer="0.3"/>
  <pageSetup paperSize="9" orientation="portrait" horizontalDpi="4294967295" verticalDpi="4294967295" r:id="rId1"/>
  <legacyDrawing r:id="rId2"/>
  <tableParts count="5">
    <tablePart r:id="rId3"/>
    <tablePart r:id="rId4"/>
    <tablePart r:id="rId5"/>
    <tablePart r:id="rId6"/>
    <tablePart r:id="rId7"/>
  </tableParts>
  <extLst>
    <ext xmlns:x14="http://schemas.microsoft.com/office/spreadsheetml/2009/9/main" uri="{78C0D931-6437-407d-A8EE-F0AAD7539E65}">
      <x14:conditionalFormattings>
        <x14:conditionalFormatting xmlns:xm="http://schemas.microsoft.com/office/excel/2006/main">
          <x14:cfRule type="dataBar" id="{97C3AF49-93CB-43D0-9FD0-3A58C8D9BE7D}">
            <x14:dataBar minLength="0" maxLength="100" gradient="0">
              <x14:cfvo type="autoMin"/>
              <x14:cfvo type="autoMax"/>
              <x14:negativeFillColor rgb="FFFF0000"/>
              <x14:axisColor rgb="FF000000"/>
            </x14:dataBar>
          </x14:cfRule>
          <xm:sqref>O7:O21</xm:sqref>
        </x14:conditionalFormatting>
        <x14:conditionalFormatting xmlns:xm="http://schemas.microsoft.com/office/excel/2006/main">
          <x14:cfRule type="dataBar" id="{C09AADB5-8EB1-4F36-8E32-2889AABB71F4}">
            <x14:dataBar minLength="0" maxLength="100" gradient="0">
              <x14:cfvo type="autoMin"/>
              <x14:cfvo type="autoMax"/>
              <x14:negativeFillColor rgb="FFFF0000"/>
              <x14:axisColor rgb="FF000000"/>
            </x14:dataBar>
          </x14:cfRule>
          <xm:sqref>M7:M21 X7:X21 CK7:CK21</xm:sqref>
        </x14:conditionalFormatting>
        <x14:conditionalFormatting xmlns:xm="http://schemas.microsoft.com/office/excel/2006/main">
          <x14:cfRule type="dataBar" id="{8A3B89C4-8AA3-4B95-9B1D-8CD3208B9058}">
            <x14:dataBar minLength="0" maxLength="100" gradient="0">
              <x14:cfvo type="autoMin"/>
              <x14:cfvo type="num">
                <xm:f>1</xm:f>
              </x14:cfvo>
              <x14:negativeFillColor rgb="FFFF0000"/>
              <x14:axisColor rgb="FF000000"/>
            </x14:dataBar>
          </x14:cfRule>
          <xm:sqref>N7:N21 Y7:Y21 CL7:CL21</xm:sqref>
        </x14:conditionalFormatting>
        <x14:conditionalFormatting xmlns:xm="http://schemas.microsoft.com/office/excel/2006/main">
          <x14:cfRule type="dataBar" id="{8FB2EFB5-2EED-4F40-92E3-BECB9885F89A}">
            <x14:dataBar minLength="0" maxLength="100" gradient="0">
              <x14:cfvo type="autoMin"/>
              <x14:cfvo type="autoMax"/>
              <x14:negativeFillColor rgb="FFFF0000"/>
              <x14:axisColor rgb="FF000000"/>
            </x14:dataBar>
          </x14:cfRule>
          <xm:sqref>D7:D21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sheetPr>
  <dimension ref="A1:BU79"/>
  <sheetViews>
    <sheetView zoomScaleNormal="100" workbookViewId="0">
      <selection activeCell="AD3" sqref="AD3:AO3"/>
    </sheetView>
  </sheetViews>
  <sheetFormatPr baseColWidth="10" defaultRowHeight="15" x14ac:dyDescent="0.25"/>
  <cols>
    <col min="1" max="1" width="4.7109375" style="96" customWidth="1"/>
    <col min="2" max="2" width="15.28515625" bestFit="1" customWidth="1"/>
    <col min="3" max="3" width="9" bestFit="1" customWidth="1"/>
    <col min="4" max="4" width="8" customWidth="1"/>
    <col min="5" max="5" width="2.7109375" customWidth="1"/>
    <col min="6" max="6" width="0.140625" customWidth="1"/>
    <col min="7" max="7" width="16.140625" customWidth="1"/>
    <col min="8" max="8" width="6.42578125" hidden="1" customWidth="1"/>
    <col min="9" max="9" width="6.42578125" customWidth="1"/>
    <col min="10" max="10" width="6.5703125" customWidth="1"/>
    <col min="11" max="11" width="8.140625" customWidth="1"/>
    <col min="12" max="12" width="2.7109375" style="96" customWidth="1"/>
    <col min="13" max="13" width="5.42578125" bestFit="1" customWidth="1"/>
    <col min="14" max="14" width="10.42578125" hidden="1" customWidth="1"/>
    <col min="15" max="15" width="10.7109375" hidden="1" customWidth="1"/>
    <col min="16" max="16" width="9.140625" customWidth="1"/>
    <col min="17" max="17" width="13.140625" customWidth="1"/>
    <col min="18" max="18" width="2.7109375" style="96" customWidth="1"/>
    <col min="19" max="19" width="22.140625" customWidth="1"/>
    <col min="20" max="20" width="5.5703125" customWidth="1"/>
    <col min="21" max="21" width="14.42578125" hidden="1" customWidth="1"/>
    <col min="22" max="22" width="16.7109375" hidden="1" customWidth="1"/>
    <col min="23" max="23" width="7.85546875" hidden="1" customWidth="1"/>
    <col min="24" max="24" width="4.5703125" hidden="1" customWidth="1"/>
    <col min="25" max="25" width="5.85546875" hidden="1" customWidth="1"/>
    <col min="26" max="26" width="3.85546875" hidden="1" customWidth="1"/>
    <col min="27" max="27" width="4.42578125" hidden="1" customWidth="1"/>
    <col min="28" max="28" width="9.28515625" customWidth="1"/>
    <col min="29" max="29" width="2.7109375" style="96" customWidth="1"/>
    <col min="30" max="30" width="10.42578125" customWidth="1"/>
    <col min="31" max="32" width="10.5703125" hidden="1" customWidth="1"/>
    <col min="33" max="33" width="9" hidden="1" customWidth="1"/>
    <col min="34" max="34" width="9.28515625" hidden="1" customWidth="1"/>
    <col min="35" max="35" width="9.42578125" hidden="1" customWidth="1"/>
    <col min="36" max="36" width="8.28515625" hidden="1" customWidth="1"/>
    <col min="37" max="37" width="24" customWidth="1"/>
    <col min="38" max="38" width="7.5703125" hidden="1" customWidth="1"/>
    <col min="39" max="39" width="8.7109375" hidden="1" customWidth="1"/>
    <col min="40" max="40" width="8.140625" customWidth="1"/>
    <col min="41" max="41" width="7.85546875" bestFit="1" customWidth="1"/>
    <col min="42" max="42" width="2.7109375" customWidth="1"/>
    <col min="43" max="43" width="13.7109375" hidden="1" customWidth="1"/>
    <col min="44" max="44" width="8.7109375" hidden="1" customWidth="1"/>
    <col min="45" max="45" width="9.28515625" hidden="1" customWidth="1"/>
    <col min="46" max="46" width="14.85546875" hidden="1" customWidth="1"/>
    <col min="47" max="47" width="8.28515625" hidden="1" customWidth="1"/>
    <col min="48" max="48" width="12.28515625" hidden="1" customWidth="1"/>
    <col min="49" max="49" width="20.5703125" customWidth="1"/>
    <col min="60" max="73" width="11.42578125" style="96"/>
  </cols>
  <sheetData>
    <row r="1" spans="1:73" s="96" customFormat="1" ht="24" customHeight="1" thickBot="1" x14ac:dyDescent="0.3"/>
    <row r="2" spans="1:73" ht="15" customHeight="1" x14ac:dyDescent="0.25">
      <c r="B2" s="216" t="s">
        <v>216</v>
      </c>
      <c r="C2" s="217"/>
      <c r="D2" s="218"/>
      <c r="E2" s="134"/>
      <c r="F2" s="228" t="s">
        <v>217</v>
      </c>
      <c r="G2" s="229"/>
      <c r="H2" s="229"/>
      <c r="I2" s="229"/>
      <c r="J2" s="229"/>
      <c r="K2" s="230"/>
      <c r="L2" s="134"/>
      <c r="M2" s="210" t="s">
        <v>218</v>
      </c>
      <c r="N2" s="211"/>
      <c r="O2" s="211"/>
      <c r="P2" s="211"/>
      <c r="Q2" s="212"/>
      <c r="R2" s="134"/>
      <c r="S2" s="222" t="s">
        <v>219</v>
      </c>
      <c r="T2" s="223"/>
      <c r="U2" s="223"/>
      <c r="V2" s="223"/>
      <c r="W2" s="223"/>
      <c r="X2" s="223"/>
      <c r="Y2" s="223"/>
      <c r="Z2" s="223"/>
      <c r="AA2" s="223"/>
      <c r="AB2" s="224"/>
      <c r="AC2" s="134"/>
      <c r="AD2" s="201" t="s">
        <v>220</v>
      </c>
      <c r="AE2" s="202"/>
      <c r="AF2" s="202"/>
      <c r="AG2" s="202"/>
      <c r="AH2" s="202"/>
      <c r="AI2" s="202"/>
      <c r="AJ2" s="202"/>
      <c r="AK2" s="202"/>
      <c r="AL2" s="202"/>
      <c r="AM2" s="202"/>
      <c r="AN2" s="202"/>
      <c r="AO2" s="203"/>
      <c r="AP2" s="134"/>
      <c r="AW2" s="133" t="s">
        <v>221</v>
      </c>
      <c r="AX2" s="96"/>
      <c r="AY2" s="96"/>
      <c r="AZ2" s="96"/>
      <c r="BA2" s="96"/>
      <c r="BB2" s="96"/>
      <c r="BC2" s="96"/>
      <c r="BD2" s="96"/>
      <c r="BE2" s="96"/>
      <c r="BF2" s="96"/>
      <c r="BG2" s="96"/>
    </row>
    <row r="3" spans="1:73" s="96" customFormat="1" ht="15" customHeight="1" x14ac:dyDescent="0.25">
      <c r="B3" s="219"/>
      <c r="C3" s="220"/>
      <c r="D3" s="221"/>
      <c r="E3" s="135"/>
      <c r="F3" s="231"/>
      <c r="G3" s="232"/>
      <c r="H3" s="232"/>
      <c r="I3" s="232"/>
      <c r="J3" s="232"/>
      <c r="K3" s="233"/>
      <c r="L3" s="135"/>
      <c r="M3" s="213">
        <v>13</v>
      </c>
      <c r="N3" s="214"/>
      <c r="O3" s="214"/>
      <c r="P3" s="214"/>
      <c r="Q3" s="215"/>
      <c r="R3" s="135"/>
      <c r="S3" s="225"/>
      <c r="T3" s="226"/>
      <c r="U3" s="226"/>
      <c r="V3" s="226"/>
      <c r="W3" s="226"/>
      <c r="X3" s="226"/>
      <c r="Y3" s="226"/>
      <c r="Z3" s="226"/>
      <c r="AA3" s="226"/>
      <c r="AB3" s="227"/>
      <c r="AC3" s="135"/>
      <c r="AD3" s="207" t="s">
        <v>52</v>
      </c>
      <c r="AE3" s="208"/>
      <c r="AF3" s="208"/>
      <c r="AG3" s="208"/>
      <c r="AH3" s="208"/>
      <c r="AI3" s="208"/>
      <c r="AJ3" s="208"/>
      <c r="AK3" s="208"/>
      <c r="AL3" s="208"/>
      <c r="AM3" s="208"/>
      <c r="AN3" s="208"/>
      <c r="AO3" s="209"/>
      <c r="AP3" s="135"/>
      <c r="AW3" s="129" t="s">
        <v>210</v>
      </c>
    </row>
    <row r="4" spans="1:73" s="108" customFormat="1" ht="141" thickBot="1" x14ac:dyDescent="0.25">
      <c r="A4" s="107"/>
      <c r="B4" s="204" t="s">
        <v>208</v>
      </c>
      <c r="C4" s="205"/>
      <c r="D4" s="206"/>
      <c r="E4" s="107"/>
      <c r="F4" s="234" t="s">
        <v>226</v>
      </c>
      <c r="G4" s="235"/>
      <c r="H4" s="235"/>
      <c r="I4" s="235"/>
      <c r="J4" s="235"/>
      <c r="K4" s="236"/>
      <c r="L4" s="107"/>
      <c r="M4" s="204" t="s">
        <v>225</v>
      </c>
      <c r="N4" s="205"/>
      <c r="O4" s="205"/>
      <c r="P4" s="205"/>
      <c r="Q4" s="206"/>
      <c r="R4" s="107"/>
      <c r="S4" s="204" t="s">
        <v>227</v>
      </c>
      <c r="T4" s="205"/>
      <c r="U4" s="205"/>
      <c r="V4" s="205"/>
      <c r="W4" s="205"/>
      <c r="X4" s="205"/>
      <c r="Y4" s="205"/>
      <c r="Z4" s="205"/>
      <c r="AA4" s="205"/>
      <c r="AB4" s="206"/>
      <c r="AC4" s="107"/>
      <c r="AD4" s="204" t="s">
        <v>228</v>
      </c>
      <c r="AE4" s="205"/>
      <c r="AF4" s="205"/>
      <c r="AG4" s="205"/>
      <c r="AH4" s="205"/>
      <c r="AI4" s="205"/>
      <c r="AJ4" s="205"/>
      <c r="AK4" s="205"/>
      <c r="AL4" s="205"/>
      <c r="AM4" s="205"/>
      <c r="AN4" s="205"/>
      <c r="AO4" s="206"/>
      <c r="AP4" s="107"/>
      <c r="AW4" s="132" t="s">
        <v>232</v>
      </c>
      <c r="AX4" s="107"/>
      <c r="AY4" s="107"/>
      <c r="AZ4" s="107"/>
      <c r="BA4" s="107"/>
      <c r="BB4" s="107"/>
      <c r="BC4" s="107"/>
      <c r="BD4" s="107"/>
      <c r="BE4" s="107"/>
      <c r="BF4" s="107"/>
      <c r="BG4" s="107"/>
      <c r="BH4" s="107"/>
      <c r="BI4" s="107"/>
      <c r="BJ4" s="107"/>
      <c r="BK4" s="107"/>
      <c r="BL4" s="107"/>
      <c r="BM4" s="107"/>
      <c r="BN4" s="107"/>
      <c r="BO4" s="107"/>
      <c r="BP4" s="107"/>
      <c r="BQ4" s="107"/>
      <c r="BR4" s="107"/>
      <c r="BS4" s="107"/>
      <c r="BT4" s="107"/>
      <c r="BU4" s="107"/>
    </row>
    <row r="5" spans="1:73" s="96" customFormat="1" ht="15.95" customHeight="1" thickBot="1" x14ac:dyDescent="0.3"/>
    <row r="6" spans="1:73" x14ac:dyDescent="0.25">
      <c r="B6" s="110" t="s">
        <v>179</v>
      </c>
      <c r="C6" s="110" t="s">
        <v>55</v>
      </c>
      <c r="D6" s="110" t="s">
        <v>214</v>
      </c>
      <c r="E6" s="96"/>
      <c r="F6" s="110" t="s">
        <v>188</v>
      </c>
      <c r="G6" s="110" t="s">
        <v>184</v>
      </c>
      <c r="H6" s="110" t="s">
        <v>179</v>
      </c>
      <c r="I6" s="110" t="s">
        <v>223</v>
      </c>
      <c r="J6" s="110" t="s">
        <v>224</v>
      </c>
      <c r="K6" s="110" t="s">
        <v>214</v>
      </c>
      <c r="M6" s="110" t="s">
        <v>204</v>
      </c>
      <c r="N6" s="110" t="s">
        <v>185</v>
      </c>
      <c r="O6" s="110" t="s">
        <v>186</v>
      </c>
      <c r="P6" s="110" t="s">
        <v>222</v>
      </c>
      <c r="Q6" s="110" t="s">
        <v>187</v>
      </c>
      <c r="S6" s="110" t="s">
        <v>179</v>
      </c>
      <c r="T6" s="110" t="s">
        <v>183</v>
      </c>
      <c r="U6" s="110" t="s">
        <v>189</v>
      </c>
      <c r="V6" s="110" t="s">
        <v>195</v>
      </c>
      <c r="W6" s="110" t="s">
        <v>191</v>
      </c>
      <c r="X6" s="110" t="s">
        <v>190</v>
      </c>
      <c r="Y6" s="110" t="s">
        <v>192</v>
      </c>
      <c r="Z6" s="110" t="s">
        <v>193</v>
      </c>
      <c r="AA6" s="110" t="s">
        <v>194</v>
      </c>
      <c r="AB6" s="110" t="s">
        <v>214</v>
      </c>
      <c r="AD6" s="110" t="s">
        <v>222</v>
      </c>
      <c r="AE6" s="110" t="s">
        <v>185</v>
      </c>
      <c r="AF6" s="110" t="s">
        <v>186</v>
      </c>
      <c r="AG6" s="110" t="s">
        <v>201</v>
      </c>
      <c r="AH6" s="110" t="s">
        <v>202</v>
      </c>
      <c r="AI6" s="110" t="s">
        <v>203</v>
      </c>
      <c r="AJ6" s="110" t="s">
        <v>205</v>
      </c>
      <c r="AK6" s="110" t="s">
        <v>244</v>
      </c>
      <c r="AL6" s="110" t="s">
        <v>180</v>
      </c>
      <c r="AM6" s="110" t="s">
        <v>206</v>
      </c>
      <c r="AN6" s="110" t="s">
        <v>10</v>
      </c>
      <c r="AO6" s="110" t="s">
        <v>207</v>
      </c>
      <c r="AP6" s="96"/>
      <c r="AQ6" t="s">
        <v>215</v>
      </c>
      <c r="AR6" t="s">
        <v>213</v>
      </c>
      <c r="AS6" t="s">
        <v>212</v>
      </c>
      <c r="AT6" t="s">
        <v>211</v>
      </c>
      <c r="AU6" t="s">
        <v>209</v>
      </c>
      <c r="AV6" t="s">
        <v>210</v>
      </c>
      <c r="AW6" s="130" t="s">
        <v>54</v>
      </c>
      <c r="AX6" s="96"/>
      <c r="AY6" s="96"/>
      <c r="AZ6" s="96"/>
      <c r="BA6" s="96"/>
      <c r="BB6" s="96"/>
      <c r="BC6" s="96"/>
      <c r="BD6" s="96"/>
      <c r="BE6" s="96"/>
      <c r="BF6" s="96"/>
      <c r="BG6" s="96"/>
    </row>
    <row r="7" spans="1:73" x14ac:dyDescent="0.25">
      <c r="B7" s="104" t="s">
        <v>1</v>
      </c>
      <c r="C7" s="124">
        <v>6543</v>
      </c>
      <c r="D7" s="104">
        <v>20</v>
      </c>
      <c r="E7" s="96"/>
      <c r="F7" s="125" t="str">
        <f>IFERROR(IF(ISBLANK(Tab_Verschiebungen[[#This Row],[NameNeu]]),Tab_Wahlergebnis[[#This Row],[Name]],""),"")</f>
        <v>CSU</v>
      </c>
      <c r="G7" s="104"/>
      <c r="H7" s="127" t="str">
        <f>IF(ISBLANK(Tab_Verschiebungen[[#This Row],[NameNeu]]),Tab_Verschiebungen[[#This Row],[NameAlt]],Tab_Verschiebungen[[#This Row],[NameNeu]])</f>
        <v>CSU</v>
      </c>
      <c r="I7" s="104">
        <v>1</v>
      </c>
      <c r="J7" s="104">
        <v>1</v>
      </c>
      <c r="K7">
        <f>IFERROR(Tab_Wahlergebnis[[#This Row],[SitzeHO]],0)+Tab_Verschiebungen[[#This Row],[Plus]]-Tab_Verschiebungen[[#This Row],[Minus]]</f>
        <v>20</v>
      </c>
      <c r="M7" s="111">
        <f>Tab_Verschiebungen[[#This Row],[SitzeHO]]/Tab_Wahlergebnis[[#Totals],[SitzeHO]]*Aussschussgröße</f>
        <v>3.714285714285714</v>
      </c>
      <c r="N7" s="110">
        <f>ROUNDDOWN(Tab_QKSicher[[#This Row],[Ideal]],0)</f>
        <v>3</v>
      </c>
      <c r="O7" s="110">
        <f>ROUNDUP(Tab_QKSicher[[#This Row],[Ideal]],0)</f>
        <v>4</v>
      </c>
      <c r="P7" s="112" t="str">
        <f>IF(Tab_QKSicher[[#This Row],[QK_Min]]=Tab_QKSicher[[#This Row],[QK_Max]],"genau "&amp;Tab_QKSicher[[#This Row],[QK_Min]],Tab_QKSicher[[#This Row],[QK_Min]]&amp;" oder "&amp;Tab_QKSicher[[#This Row],[QK_Max]])</f>
        <v>3 oder 4</v>
      </c>
      <c r="Q7" s="110" t="b">
        <f>Tab_Verschiebungen[[#This Row],[SitzeHO]]&gt;Tab_Wahlergebnis[[#Totals],[SitzeHO]]/(1+Aussschussgröße)</f>
        <v>1</v>
      </c>
      <c r="S7" s="123" t="str">
        <f>IF(COUNTIF(Tab_AG[AG],Tab_AG[[#This Row],[Name_Hilf]])&gt;0,Tab_AG[[#This Row],[AGName]],Tab_AG[[#This Row],[Name_Hilf]])</f>
        <v>CSU</v>
      </c>
      <c r="T7" s="104"/>
      <c r="U7" s="123" t="str">
        <f>IFERROR(Tab_Verschiebungen[[#This Row],[Name]],"AG"&amp;ROW()-ROW(Tab_AG[[#Headers],[Name_Hilf]])-ROWS(Tab_QKSicher[Ideal]))</f>
        <v>CSU</v>
      </c>
      <c r="V7" s="113">
        <f>IFERROR(Tab_Verschiebungen[[#This Row],[SitzeHO]],0)</f>
        <v>20</v>
      </c>
      <c r="W7" s="113" t="str">
        <f>IF(ROW()=ROW(Tab_AG[[#Headers],[AGN_Alt]])+1,"",X6)</f>
        <v/>
      </c>
      <c r="X7" s="113" t="str">
        <f>IF(ISBLANK(Tab_AG[[#This Row],[AG]]),Tab_AG[[#This Row],[AGN_Alt]],IF(ISERROR(FIND(Tab_AG[[#This Row],[AG]],Tab_AG[[#This Row],[AGN_Alt]])),Tab_AG[[#This Row],[AGN_Alt]]&amp;Tab_AG[[#This Row],[AG]]&amp;"[~"&amp;MID(Tab_AG[[#This Row],[Name_Hilf]],1,3)&amp;"]",SUBSTITUTE(Tab_AG[[#This Row],[AGN_Alt]],Tab_AG[[#This Row],[AG]]&amp;"[~",Tab_AG[[#This Row],[AG]]&amp;"[~"&amp;MID(Tab_AG[[#This Row],[Name_Hilf]],1,3)&amp;"+")))</f>
        <v/>
      </c>
      <c r="Y7" s="113">
        <f>IFERROR(FIND(Tab_AG[[#This Row],[Name_Hilf]]&amp;"[~",Tab_AG[[#This Row],[AGN_Neu]]),0)</f>
        <v>0</v>
      </c>
      <c r="Z7" s="113">
        <f>IFERROR(FIND("]",Tab_AG[[#This Row],[AGN_Neu]],Tab_AG[[#This Row],[SuchBeginn]]),0)</f>
        <v>0</v>
      </c>
      <c r="AA7" s="113" t="str">
        <f>IFERROR(SUBSTITUTE(MID(Tab_AG[[#This Row],[AGN_Neu]],Tab_AG[[#This Row],[SuchBeginn]],Tab_AG[[#This Row],[SuchKlammer]]-Tab_AG[[#This Row],[SuchBeginn]]+1),"~",""),"")</f>
        <v/>
      </c>
      <c r="AB7" s="118">
        <f>IFERROR(IF(ISBLANK(Tab_AG[[#This Row],[AG]]),Tab_Verschiebungen[[#This Row],[SitzeHO]],0),SUMIFS(Tab_AG[SItzeImHO_Hilf],Tab_AG[AG],Tab_AG[[#This Row],[Name_Hilf]]))</f>
        <v>20</v>
      </c>
      <c r="AD7" s="112" t="str">
        <f>IF(Tab_Verfahren[[#This Row],[QK_Min]]=Tab_Verfahren[[#This Row],[QK_Max]],"genau "&amp;Tab_Verfahren[[#This Row],[QK_Min]],Tab_Verfahren[[#This Row],[QK_Min]]&amp;" oder "&amp;Tab_Verfahren[[#This Row],[QK_Max]])</f>
        <v>3 oder 4</v>
      </c>
      <c r="AE7" s="110">
        <f>ROUNDDOWN(Aussschussgröße*Tab_AG[[#This Row],[SitzeHO]]/Tab_Wahlergebnis[[#Totals],[SitzeHO]],0)</f>
        <v>3</v>
      </c>
      <c r="AF7" s="110">
        <f>ROUNDUP(Aussschussgröße*Tab_AG[[#This Row],[SitzeHO]]/Tab_Wahlergebnis[[#Totals],[SitzeHO]],0)</f>
        <v>4</v>
      </c>
      <c r="AG7" s="119">
        <f>ROUND(Tab_AG[[#This Row],[SitzeHO]]/(Tab_Verfahren[[#This Row],[QK_Min]]+1),4)</f>
        <v>5</v>
      </c>
      <c r="AH7" s="119">
        <f>ROUND(Aussschussgröße*Tab_AG[[#This Row],[SitzeHO]]/Tab_Wahlergebnis[[#Totals],[SitzeHO]]-Tab_Verfahren[[#This Row],[QK_Min]],4)</f>
        <v>0.71430000000000005</v>
      </c>
      <c r="AI7" s="119">
        <f>ROUND(Tab_AG[[#This Row],[SitzeHO]]/(Tab_Verfahren[[#This Row],[QK_Min]]*2+1),4)</f>
        <v>2.8571</v>
      </c>
      <c r="AJ7" s="120">
        <f>IF(Tab_Verfahren[[#This Row],[QK_Min]]=Tab_Verfahren[[#This Row],[QK_Max]],0,IF(Verfahren=VerfdH,Tab_Verfahren[[#This Row],[AZ_dH]],IF(Verfahren=VerfHN,Tab_Verfahren[[#This Row],[AZ_HN]],IF(Verfahren=VerfSLS,Tab_Verfahren[[#This Row],[AZ_SLS]],#N/A))))</f>
        <v>5</v>
      </c>
      <c r="AK7" s="120" t="str">
        <f>IF(Tab_Verfahren[[#This Row],[AZ]]&gt;0,Tab_Verfahren[[#This Row],[QK_Max]]&amp;". Sitz:   "&amp;IF(Verfahren=VerfdH,Tab_AG[[#This Row],[SitzeHO]]&amp;"/"&amp;Tab_Verfahren[[#This Row],[QK_Max]],"")&amp;IF(Verfahren=VerfSLS,Tab_AG[[#This Row],[SitzeHO]]&amp;"/"&amp;Tab_Verfahren[[#This Row],[QK_Max]]*2-1,"")&amp;IF(Verfahren=VerfHN,Tab_AG[[#This Row],[SitzeHO]]&amp;"/"&amp;Tab_AG[[#Totals],[SitzeHO]]&amp;"*"&amp;Aussschussgröße&amp;"-"&amp;Tab_Verfahren[[#This Row],[QK_Min]],"")&amp;" = "&amp;TEXT(Tab_Verfahren[[#This Row],[AZ]],"0,000"),"")</f>
        <v>4. Sitz:   20/4 = 5,000</v>
      </c>
      <c r="AL7" s="121">
        <f>_xlfn.RANK.EQ(Tab_Verfahren[[#This Row],[AZ]],Tab_Verfahren[AZ],0)</f>
        <v>2</v>
      </c>
      <c r="AM7" s="119" t="str">
        <f>IF(COUNTIFS(Tab_Verfahren[Rang],"&lt;="&amp;Tab_Verfahren[[#This Row],[Rang]])&lt;=Aussschussgröße-SUM(Tab_Verfahren[QK_Min]),"SITZ",IF(COUNTIFS(Tab_Verfahren[Rang],"&lt;"&amp;Tab_Verfahren[[#This Row],[Rang]])&lt;Aussschussgröße-SUM(Tab_Verfahren[QK_Min]),"PATT",""))</f>
        <v>SITZ</v>
      </c>
      <c r="AN7" s="118">
        <f>Tab_Verfahren[[#This Row],[QK_Min]]+IF(Tab_Verfahren[[#This Row],[Status]]="SITZ",1,0)</f>
        <v>4</v>
      </c>
      <c r="AO7" s="122">
        <f>IF(Tab_Verfahren[[#This Row],[Status]]&lt;&gt;"PATT",0,(Aussschussgröße-SUM(Tab_Verfahren[Sitze]))/COUNTIFS(Tab_Verfahren[Status],"PATT"))</f>
        <v>0</v>
      </c>
      <c r="AP7" s="96"/>
      <c r="AQ7" t="b">
        <f>OR(Tab_Verfahren[[#This Row],[LosCh]]=0,IFERROR(AND(ISNUMBER(Tab_Wahlergebnis[[#This Row],[Stimmen]]),Tab_Verschiebungen[[#This Row],[Plus]]+Tab_Verschiebungen[[#This Row],[Minus]]=0),FALSE))</f>
        <v>1</v>
      </c>
      <c r="AR7">
        <f>IF(AND(AND(Tabelle16[StimmenZul]),Tab_Verfahren[[#This Row],[LosCh]]&gt;0),Tab_Wahlergebnis[[#This Row],[Stimmen]],0)</f>
        <v>0</v>
      </c>
      <c r="AS7" t="b">
        <f>RANK(Tabelle16[[#This Row],[StimmenSitz]],Tabelle16[StimmenSitz],0)&lt;=Tab_Verfahren[[#Totals],[LosCh]]</f>
        <v>1</v>
      </c>
      <c r="AT7" s="97" t="str">
        <f>IF(Tab_Verfahren[[#This Row],[LosCh]]=0,"",IF(NOT(AND(Tabelle16[StimmenZul])),"UNZULÄSSIG",IF(Tabelle16[[#This Row],[StRang]],"SITZ ("&amp;Tabelle16[[#This Row],[StimmenSitz]]&amp;")","K. SITZ ("&amp;Tabelle16[[#This Row],[StimmenSitz]]&amp;")")))</f>
        <v/>
      </c>
      <c r="AU7" s="105">
        <f ca="1">RAND()*Tab_Verfahren[[#This Row],[LosCh]]</f>
        <v>0</v>
      </c>
      <c r="AV7" t="str">
        <f>IF(Tab_Verfahren[[#This Row],[LosCh]]=0,"",IF(_xlfn.RANK.EQ(Tabelle16[[#This Row],[Zufall]],Tabelle16[Zufall])&lt;=Tab_Verfahren[[#Totals],[LosCh]],"SITZ ("&amp;TEXT(Tabelle16[[#This Row],[Zufall]],",0000")&amp;")","NIETE ("&amp;TEXT(Tabelle16[[#This Row],[Zufall]],",0000")&amp;")"))</f>
        <v/>
      </c>
      <c r="AW7" s="131" t="str">
        <f>IF(Pattverfahren="Stimmen",Tabelle16[[#This Row],[Stimmenzahl]],IF(Pattverfahren="Verlosung",Tabelle16[[#This Row],[Verlosung]],""))</f>
        <v/>
      </c>
      <c r="AX7" s="96"/>
      <c r="AY7" s="96"/>
      <c r="AZ7" s="96"/>
      <c r="BA7" s="96"/>
      <c r="BB7" s="96"/>
      <c r="BC7" s="96"/>
      <c r="BD7" s="96"/>
      <c r="BE7" s="96"/>
      <c r="BF7" s="96"/>
      <c r="BG7" s="96"/>
    </row>
    <row r="8" spans="1:73" x14ac:dyDescent="0.25">
      <c r="B8" s="104" t="s">
        <v>2</v>
      </c>
      <c r="C8" s="124">
        <v>5432</v>
      </c>
      <c r="D8" s="104">
        <v>15</v>
      </c>
      <c r="E8" s="96"/>
      <c r="F8" s="125" t="str">
        <f>IFERROR(IF(ISBLANK(Tab_Verschiebungen[[#This Row],[NameNeu]]),Tab_Wahlergebnis[[#This Row],[Name]],""),"")</f>
        <v>GRÜNE</v>
      </c>
      <c r="G8" s="104"/>
      <c r="H8" s="127" t="str">
        <f>IF(ISBLANK(Tab_Verschiebungen[[#This Row],[NameNeu]]),Tab_Verschiebungen[[#This Row],[NameAlt]],Tab_Verschiebungen[[#This Row],[NameNeu]])</f>
        <v>GRÜNE</v>
      </c>
      <c r="I8" s="104">
        <v>1</v>
      </c>
      <c r="J8" s="104"/>
      <c r="K8">
        <f>IFERROR(Tab_Wahlergebnis[[#This Row],[SitzeHO]],0)+Tab_Verschiebungen[[#This Row],[Plus]]-Tab_Verschiebungen[[#This Row],[Minus]]</f>
        <v>16</v>
      </c>
      <c r="M8" s="111">
        <f>Tab_Verschiebungen[[#This Row],[SitzeHO]]/Tab_Wahlergebnis[[#Totals],[SitzeHO]]*Aussschussgröße</f>
        <v>2.9714285714285715</v>
      </c>
      <c r="N8" s="110">
        <f>ROUNDDOWN(Tab_QKSicher[[#This Row],[Ideal]],0)</f>
        <v>2</v>
      </c>
      <c r="O8" s="110">
        <f>ROUNDUP(Tab_QKSicher[[#This Row],[Ideal]],0)</f>
        <v>3</v>
      </c>
      <c r="P8" s="112" t="str">
        <f>IF(Tab_QKSicher[[#This Row],[QK_Min]]=Tab_QKSicher[[#This Row],[QK_Max]],"genau "&amp;Tab_QKSicher[[#This Row],[QK_Min]],Tab_QKSicher[[#This Row],[QK_Min]]&amp;" oder "&amp;Tab_QKSicher[[#This Row],[QK_Max]])</f>
        <v>2 oder 3</v>
      </c>
      <c r="Q8" s="110" t="b">
        <f>Tab_Verschiebungen[[#This Row],[SitzeHO]]&gt;Tab_Wahlergebnis[[#Totals],[SitzeHO]]/(1+Aussschussgröße)</f>
        <v>1</v>
      </c>
      <c r="S8" s="123" t="str">
        <f>IF(COUNTIF(Tab_AG[AG],Tab_AG[[#This Row],[Name_Hilf]])&gt;0,Tab_AG[[#This Row],[AGName]],Tab_AG[[#This Row],[Name_Hilf]])</f>
        <v>GRÜNE</v>
      </c>
      <c r="T8" s="104"/>
      <c r="U8" s="123" t="str">
        <f>IFERROR(Tab_Verschiebungen[[#This Row],[Name]],"AG"&amp;ROW()-ROW(Tab_AG[[#Headers],[Name_Hilf]])-ROWS(Tab_QKSicher[Ideal]))</f>
        <v>GRÜNE</v>
      </c>
      <c r="V8" s="113">
        <f>IFERROR(Tab_Verschiebungen[[#This Row],[SitzeHO]],0)</f>
        <v>16</v>
      </c>
      <c r="W8" s="113" t="str">
        <f>IF(ROW()=ROW(Tab_AG[[#Headers],[AGN_Alt]])+1,"",X7)</f>
        <v/>
      </c>
      <c r="X8" s="113" t="str">
        <f>IF(ISBLANK(Tab_AG[[#This Row],[AG]]),Tab_AG[[#This Row],[AGN_Alt]],IF(ISERROR(FIND(Tab_AG[[#This Row],[AG]],Tab_AG[[#This Row],[AGN_Alt]])),Tab_AG[[#This Row],[AGN_Alt]]&amp;Tab_AG[[#This Row],[AG]]&amp;"[~"&amp;MID(Tab_AG[[#This Row],[Name_Hilf]],1,3)&amp;"]",SUBSTITUTE(Tab_AG[[#This Row],[AGN_Alt]],Tab_AG[[#This Row],[AG]]&amp;"[~",Tab_AG[[#This Row],[AG]]&amp;"[~"&amp;MID(Tab_AG[[#This Row],[Name_Hilf]],1,3)&amp;"+")))</f>
        <v/>
      </c>
      <c r="Y8" s="113">
        <f>IFERROR(FIND(Tab_AG[[#This Row],[Name_Hilf]]&amp;"[~",Tab_AG[[#This Row],[AGN_Neu]]),0)</f>
        <v>0</v>
      </c>
      <c r="Z8" s="113">
        <f>IFERROR(FIND("]",Tab_AG[[#This Row],[AGN_Neu]],Tab_AG[[#This Row],[SuchBeginn]]),0)</f>
        <v>0</v>
      </c>
      <c r="AA8" s="113" t="str">
        <f>IFERROR(SUBSTITUTE(MID(Tab_AG[[#This Row],[AGN_Neu]],Tab_AG[[#This Row],[SuchBeginn]],Tab_AG[[#This Row],[SuchKlammer]]-Tab_AG[[#This Row],[SuchBeginn]]+1),"~",""),"")</f>
        <v/>
      </c>
      <c r="AB8" s="118">
        <f>IFERROR(IF(ISBLANK(Tab_AG[[#This Row],[AG]]),Tab_Verschiebungen[[#This Row],[SitzeHO]],0),SUMIFS(Tab_AG[SItzeImHO_Hilf],Tab_AG[AG],Tab_AG[[#This Row],[Name_Hilf]]))</f>
        <v>16</v>
      </c>
      <c r="AD8" s="112" t="str">
        <f>IF(Tab_Verfahren[[#This Row],[QK_Min]]=Tab_Verfahren[[#This Row],[QK_Max]],"genau "&amp;Tab_Verfahren[[#This Row],[QK_Min]],Tab_Verfahren[[#This Row],[QK_Min]]&amp;" oder "&amp;Tab_Verfahren[[#This Row],[QK_Max]])</f>
        <v>2 oder 3</v>
      </c>
      <c r="AE8" s="110">
        <f>ROUNDDOWN(Aussschussgröße*Tab_AG[[#This Row],[SitzeHO]]/Tab_Wahlergebnis[[#Totals],[SitzeHO]],0)</f>
        <v>2</v>
      </c>
      <c r="AF8" s="110">
        <f>ROUNDUP(Aussschussgröße*Tab_AG[[#This Row],[SitzeHO]]/Tab_Wahlergebnis[[#Totals],[SitzeHO]],0)</f>
        <v>3</v>
      </c>
      <c r="AG8" s="119">
        <f>ROUND(Tab_AG[[#This Row],[SitzeHO]]/(Tab_Verfahren[[#This Row],[QK_Min]]+1),4)</f>
        <v>5.3333000000000004</v>
      </c>
      <c r="AH8" s="119">
        <f>ROUND(Aussschussgröße*Tab_AG[[#This Row],[SitzeHO]]/Tab_Wahlergebnis[[#Totals],[SitzeHO]]-Tab_Verfahren[[#This Row],[QK_Min]],4)</f>
        <v>0.97140000000000004</v>
      </c>
      <c r="AI8" s="119">
        <f>ROUND(Tab_AG[[#This Row],[SitzeHO]]/(Tab_Verfahren[[#This Row],[QK_Min]]*2+1),4)</f>
        <v>3.2</v>
      </c>
      <c r="AJ8" s="120">
        <f>IF(Tab_Verfahren[[#This Row],[QK_Min]]=Tab_Verfahren[[#This Row],[QK_Max]],0,IF(Verfahren=VerfdH,Tab_Verfahren[[#This Row],[AZ_dH]],IF(Verfahren=VerfHN,Tab_Verfahren[[#This Row],[AZ_HN]],IF(Verfahren=VerfSLS,Tab_Verfahren[[#This Row],[AZ_SLS]],#N/A))))</f>
        <v>5.3333000000000004</v>
      </c>
      <c r="AK8" s="120" t="str">
        <f>IF(Tab_Verfahren[[#This Row],[AZ]]&gt;0,Tab_Verfahren[[#This Row],[QK_Max]]&amp;". Sitz:   "&amp;IF(Verfahren=VerfdH,Tab_AG[[#This Row],[SitzeHO]]&amp;"/"&amp;Tab_Verfahren[[#This Row],[QK_Max]],"")&amp;IF(Verfahren=VerfSLS,Tab_AG[[#This Row],[SitzeHO]]&amp;"/"&amp;Tab_Verfahren[[#This Row],[QK_Max]]*2-1,"")&amp;IF(Verfahren=VerfHN,Tab_AG[[#This Row],[SitzeHO]]&amp;"/"&amp;Tab_AG[[#Totals],[SitzeHO]]&amp;"*"&amp;Aussschussgröße&amp;"-"&amp;Tab_Verfahren[[#This Row],[QK_Min]],"")&amp;" = "&amp;TEXT(Tab_Verfahren[[#This Row],[AZ]],"0,000"),"")</f>
        <v>3. Sitz:   16/3 = 5,333</v>
      </c>
      <c r="AL8" s="121">
        <f>_xlfn.RANK.EQ(Tab_Verfahren[[#This Row],[AZ]],Tab_Verfahren[AZ],0)</f>
        <v>1</v>
      </c>
      <c r="AM8" s="119" t="str">
        <f>IF(COUNTIFS(Tab_Verfahren[Rang],"&lt;="&amp;Tab_Verfahren[[#This Row],[Rang]])&lt;=Aussschussgröße-SUM(Tab_Verfahren[QK_Min]),"SITZ",IF(COUNTIFS(Tab_Verfahren[Rang],"&lt;"&amp;Tab_Verfahren[[#This Row],[Rang]])&lt;Aussschussgröße-SUM(Tab_Verfahren[QK_Min]),"PATT",""))</f>
        <v>SITZ</v>
      </c>
      <c r="AN8" s="118">
        <f>Tab_Verfahren[[#This Row],[QK_Min]]+IF(Tab_Verfahren[[#This Row],[Status]]="SITZ",1,0)</f>
        <v>3</v>
      </c>
      <c r="AO8" s="122">
        <f>IF(Tab_Verfahren[[#This Row],[Status]]&lt;&gt;"PATT",0,(Aussschussgröße-SUM(Tab_Verfahren[Sitze]))/COUNTIFS(Tab_Verfahren[Status],"PATT"))</f>
        <v>0</v>
      </c>
      <c r="AP8" s="96"/>
      <c r="AQ8" t="b">
        <f>OR(Tab_Verfahren[[#This Row],[LosCh]]=0,IFERROR(AND(ISNUMBER(Tab_Wahlergebnis[[#This Row],[Stimmen]]),Tab_Verschiebungen[[#This Row],[Plus]]+Tab_Verschiebungen[[#This Row],[Minus]]=0),FALSE))</f>
        <v>1</v>
      </c>
      <c r="AR8">
        <f>IF(AND(AND(Tabelle16[StimmenZul]),Tab_Verfahren[[#This Row],[LosCh]]&gt;0),Tab_Wahlergebnis[[#This Row],[Stimmen]],0)</f>
        <v>0</v>
      </c>
      <c r="AS8" t="b">
        <f>RANK(Tabelle16[[#This Row],[StimmenSitz]],Tabelle16[StimmenSitz],0)&lt;=Tab_Verfahren[[#Totals],[LosCh]]</f>
        <v>1</v>
      </c>
      <c r="AT8" s="97" t="str">
        <f>IF(Tab_Verfahren[[#This Row],[LosCh]]=0,"",IF(NOT(AND(Tabelle16[StimmenZul])),"UNZULÄSSIG",IF(Tabelle16[[#This Row],[StRang]],"SITZ ("&amp;Tabelle16[[#This Row],[StimmenSitz]]&amp;")","K. SITZ ("&amp;Tabelle16[[#This Row],[StimmenSitz]]&amp;")")))</f>
        <v/>
      </c>
      <c r="AU8" s="105">
        <f ca="1">RAND()*Tab_Verfahren[[#This Row],[LosCh]]</f>
        <v>0</v>
      </c>
      <c r="AV8" t="str">
        <f>IF(Tab_Verfahren[[#This Row],[LosCh]]=0,"",IF(_xlfn.RANK.EQ(Tabelle16[[#This Row],[Zufall]],Tabelle16[Zufall])&lt;=Tab_Verfahren[[#Totals],[LosCh]],"SITZ ("&amp;TEXT(Tabelle16[[#This Row],[Zufall]],",0000")&amp;")","NIETE ("&amp;TEXT(Tabelle16[[#This Row],[Zufall]],",0000")&amp;")"))</f>
        <v/>
      </c>
      <c r="AW8" s="131" t="str">
        <f>IF(Pattverfahren="Stimmen",Tabelle16[[#This Row],[Stimmenzahl]],IF(Pattverfahren="Verlosung",Tabelle16[[#This Row],[Verlosung]],""))</f>
        <v/>
      </c>
      <c r="AX8" s="96"/>
      <c r="AY8" s="96"/>
      <c r="AZ8" s="96"/>
      <c r="BA8" s="96"/>
      <c r="BB8" s="96"/>
      <c r="BC8" s="96"/>
      <c r="BD8" s="96"/>
      <c r="BE8" s="96"/>
      <c r="BF8" s="96"/>
      <c r="BG8" s="96"/>
    </row>
    <row r="9" spans="1:73" x14ac:dyDescent="0.25">
      <c r="B9" s="104" t="s">
        <v>120</v>
      </c>
      <c r="C9" s="124">
        <v>4321</v>
      </c>
      <c r="D9" s="104">
        <v>10</v>
      </c>
      <c r="E9" s="96"/>
      <c r="F9" s="125" t="str">
        <f>IFERROR(IF(ISBLANK(Tab_Verschiebungen[[#This Row],[NameNeu]]),Tab_Wahlergebnis[[#This Row],[Name]],""),"")</f>
        <v>FREIE WÄHLER</v>
      </c>
      <c r="G9" s="104"/>
      <c r="H9" s="127" t="str">
        <f>IF(ISBLANK(Tab_Verschiebungen[[#This Row],[NameNeu]]),Tab_Verschiebungen[[#This Row],[NameAlt]],Tab_Verschiebungen[[#This Row],[NameNeu]])</f>
        <v>FREIE WÄHLER</v>
      </c>
      <c r="I9" s="104"/>
      <c r="J9" s="104"/>
      <c r="K9">
        <f>IFERROR(Tab_Wahlergebnis[[#This Row],[SitzeHO]],0)+Tab_Verschiebungen[[#This Row],[Plus]]-Tab_Verschiebungen[[#This Row],[Minus]]</f>
        <v>10</v>
      </c>
      <c r="M9" s="111">
        <f>Tab_Verschiebungen[[#This Row],[SitzeHO]]/Tab_Wahlergebnis[[#Totals],[SitzeHO]]*Aussschussgröße</f>
        <v>1.857142857142857</v>
      </c>
      <c r="N9" s="110">
        <f>ROUNDDOWN(Tab_QKSicher[[#This Row],[Ideal]],0)</f>
        <v>1</v>
      </c>
      <c r="O9" s="110">
        <f>ROUNDUP(Tab_QKSicher[[#This Row],[Ideal]],0)</f>
        <v>2</v>
      </c>
      <c r="P9" s="112" t="str">
        <f>IF(Tab_QKSicher[[#This Row],[QK_Min]]=Tab_QKSicher[[#This Row],[QK_Max]],"genau "&amp;Tab_QKSicher[[#This Row],[QK_Min]],Tab_QKSicher[[#This Row],[QK_Min]]&amp;" oder "&amp;Tab_QKSicher[[#This Row],[QK_Max]])</f>
        <v>1 oder 2</v>
      </c>
      <c r="Q9" s="110" t="b">
        <f>Tab_Verschiebungen[[#This Row],[SitzeHO]]&gt;Tab_Wahlergebnis[[#Totals],[SitzeHO]]/(1+Aussschussgröße)</f>
        <v>1</v>
      </c>
      <c r="S9" s="123" t="str">
        <f>IF(COUNTIF(Tab_AG[AG],Tab_AG[[#This Row],[Name_Hilf]])&gt;0,Tab_AG[[#This Row],[AGName]],Tab_AG[[#This Row],[Name_Hilf]])</f>
        <v>FREIE WÄHLER</v>
      </c>
      <c r="T9" s="104"/>
      <c r="U9" s="123" t="str">
        <f>IFERROR(Tab_Verschiebungen[[#This Row],[Name]],"AG"&amp;ROW()-ROW(Tab_AG[[#Headers],[Name_Hilf]])-ROWS(Tab_QKSicher[Ideal]))</f>
        <v>FREIE WÄHLER</v>
      </c>
      <c r="V9" s="113">
        <f>IFERROR(Tab_Verschiebungen[[#This Row],[SitzeHO]],0)</f>
        <v>10</v>
      </c>
      <c r="W9" s="113" t="str">
        <f>IF(ROW()=ROW(Tab_AG[[#Headers],[AGN_Alt]])+1,"",X8)</f>
        <v/>
      </c>
      <c r="X9" s="113" t="str">
        <f>IF(ISBLANK(Tab_AG[[#This Row],[AG]]),Tab_AG[[#This Row],[AGN_Alt]],IF(ISERROR(FIND(Tab_AG[[#This Row],[AG]],Tab_AG[[#This Row],[AGN_Alt]])),Tab_AG[[#This Row],[AGN_Alt]]&amp;Tab_AG[[#This Row],[AG]]&amp;"[~"&amp;MID(Tab_AG[[#This Row],[Name_Hilf]],1,3)&amp;"]",SUBSTITUTE(Tab_AG[[#This Row],[AGN_Alt]],Tab_AG[[#This Row],[AG]]&amp;"[~",Tab_AG[[#This Row],[AG]]&amp;"[~"&amp;MID(Tab_AG[[#This Row],[Name_Hilf]],1,3)&amp;"+")))</f>
        <v/>
      </c>
      <c r="Y9" s="113">
        <f>IFERROR(FIND(Tab_AG[[#This Row],[Name_Hilf]]&amp;"[~",Tab_AG[[#This Row],[AGN_Neu]]),0)</f>
        <v>0</v>
      </c>
      <c r="Z9" s="113">
        <f>IFERROR(FIND("]",Tab_AG[[#This Row],[AGN_Neu]],Tab_AG[[#This Row],[SuchBeginn]]),0)</f>
        <v>0</v>
      </c>
      <c r="AA9" s="113" t="str">
        <f>IFERROR(SUBSTITUTE(MID(Tab_AG[[#This Row],[AGN_Neu]],Tab_AG[[#This Row],[SuchBeginn]],Tab_AG[[#This Row],[SuchKlammer]]-Tab_AG[[#This Row],[SuchBeginn]]+1),"~",""),"")</f>
        <v/>
      </c>
      <c r="AB9" s="118">
        <f>IFERROR(IF(ISBLANK(Tab_AG[[#This Row],[AG]]),Tab_Verschiebungen[[#This Row],[SitzeHO]],0),SUMIFS(Tab_AG[SItzeImHO_Hilf],Tab_AG[AG],Tab_AG[[#This Row],[Name_Hilf]]))</f>
        <v>10</v>
      </c>
      <c r="AD9" s="112" t="str">
        <f>IF(Tab_Verfahren[[#This Row],[QK_Min]]=Tab_Verfahren[[#This Row],[QK_Max]],"genau "&amp;Tab_Verfahren[[#This Row],[QK_Min]],Tab_Verfahren[[#This Row],[QK_Min]]&amp;" oder "&amp;Tab_Verfahren[[#This Row],[QK_Max]])</f>
        <v>1 oder 2</v>
      </c>
      <c r="AE9" s="110">
        <f>ROUNDDOWN(Aussschussgröße*Tab_AG[[#This Row],[SitzeHO]]/Tab_Wahlergebnis[[#Totals],[SitzeHO]],0)</f>
        <v>1</v>
      </c>
      <c r="AF9" s="110">
        <f>ROUNDUP(Aussschussgröße*Tab_AG[[#This Row],[SitzeHO]]/Tab_Wahlergebnis[[#Totals],[SitzeHO]],0)</f>
        <v>2</v>
      </c>
      <c r="AG9" s="119">
        <f>ROUND(Tab_AG[[#This Row],[SitzeHO]]/(Tab_Verfahren[[#This Row],[QK_Min]]+1),4)</f>
        <v>5</v>
      </c>
      <c r="AH9" s="119">
        <f>ROUND(Aussschussgröße*Tab_AG[[#This Row],[SitzeHO]]/Tab_Wahlergebnis[[#Totals],[SitzeHO]]-Tab_Verfahren[[#This Row],[QK_Min]],4)</f>
        <v>0.85709999999999997</v>
      </c>
      <c r="AI9" s="119">
        <f>ROUND(Tab_AG[[#This Row],[SitzeHO]]/(Tab_Verfahren[[#This Row],[QK_Min]]*2+1),4)</f>
        <v>3.3332999999999999</v>
      </c>
      <c r="AJ9" s="120">
        <f>IF(Tab_Verfahren[[#This Row],[QK_Min]]=Tab_Verfahren[[#This Row],[QK_Max]],0,IF(Verfahren=VerfdH,Tab_Verfahren[[#This Row],[AZ_dH]],IF(Verfahren=VerfHN,Tab_Verfahren[[#This Row],[AZ_HN]],IF(Verfahren=VerfSLS,Tab_Verfahren[[#This Row],[AZ_SLS]],#N/A))))</f>
        <v>5</v>
      </c>
      <c r="AK9" s="120" t="str">
        <f>IF(Tab_Verfahren[[#This Row],[AZ]]&gt;0,Tab_Verfahren[[#This Row],[QK_Max]]&amp;". Sitz:   "&amp;IF(Verfahren=VerfdH,Tab_AG[[#This Row],[SitzeHO]]&amp;"/"&amp;Tab_Verfahren[[#This Row],[QK_Max]],"")&amp;IF(Verfahren=VerfSLS,Tab_AG[[#This Row],[SitzeHO]]&amp;"/"&amp;Tab_Verfahren[[#This Row],[QK_Max]]*2-1,"")&amp;IF(Verfahren=VerfHN,Tab_AG[[#This Row],[SitzeHO]]&amp;"/"&amp;Tab_AG[[#Totals],[SitzeHO]]&amp;"*"&amp;Aussschussgröße&amp;"-"&amp;Tab_Verfahren[[#This Row],[QK_Min]],"")&amp;" = "&amp;TEXT(Tab_Verfahren[[#This Row],[AZ]],"0,000"),"")</f>
        <v>2. Sitz:   10/2 = 5,000</v>
      </c>
      <c r="AL9" s="121">
        <f>_xlfn.RANK.EQ(Tab_Verfahren[[#This Row],[AZ]],Tab_Verfahren[AZ],0)</f>
        <v>2</v>
      </c>
      <c r="AM9" s="119" t="str">
        <f>IF(COUNTIFS(Tab_Verfahren[Rang],"&lt;="&amp;Tab_Verfahren[[#This Row],[Rang]])&lt;=Aussschussgröße-SUM(Tab_Verfahren[QK_Min]),"SITZ",IF(COUNTIFS(Tab_Verfahren[Rang],"&lt;"&amp;Tab_Verfahren[[#This Row],[Rang]])&lt;Aussschussgröße-SUM(Tab_Verfahren[QK_Min]),"PATT",""))</f>
        <v>SITZ</v>
      </c>
      <c r="AN9" s="118">
        <f>Tab_Verfahren[[#This Row],[QK_Min]]+IF(Tab_Verfahren[[#This Row],[Status]]="SITZ",1,0)</f>
        <v>2</v>
      </c>
      <c r="AO9" s="122">
        <f>IF(Tab_Verfahren[[#This Row],[Status]]&lt;&gt;"PATT",0,(Aussschussgröße-SUM(Tab_Verfahren[Sitze]))/COUNTIFS(Tab_Verfahren[Status],"PATT"))</f>
        <v>0</v>
      </c>
      <c r="AP9" s="96"/>
      <c r="AQ9" t="b">
        <f>OR(Tab_Verfahren[[#This Row],[LosCh]]=0,IFERROR(AND(ISNUMBER(Tab_Wahlergebnis[[#This Row],[Stimmen]]),Tab_Verschiebungen[[#This Row],[Plus]]+Tab_Verschiebungen[[#This Row],[Minus]]=0),FALSE))</f>
        <v>1</v>
      </c>
      <c r="AR9">
        <f>IF(AND(AND(Tabelle16[StimmenZul]),Tab_Verfahren[[#This Row],[LosCh]]&gt;0),Tab_Wahlergebnis[[#This Row],[Stimmen]],0)</f>
        <v>0</v>
      </c>
      <c r="AS9" t="b">
        <f>RANK(Tabelle16[[#This Row],[StimmenSitz]],Tabelle16[StimmenSitz],0)&lt;=Tab_Verfahren[[#Totals],[LosCh]]</f>
        <v>1</v>
      </c>
      <c r="AT9" s="97" t="str">
        <f>IF(Tab_Verfahren[[#This Row],[LosCh]]=0,"",IF(NOT(AND(Tabelle16[StimmenZul])),"UNZULÄSSIG",IF(Tabelle16[[#This Row],[StRang]],"SITZ ("&amp;Tabelle16[[#This Row],[StimmenSitz]]&amp;")","K. SITZ ("&amp;Tabelle16[[#This Row],[StimmenSitz]]&amp;")")))</f>
        <v/>
      </c>
      <c r="AU9" s="105">
        <f ca="1">RAND()*Tab_Verfahren[[#This Row],[LosCh]]</f>
        <v>0</v>
      </c>
      <c r="AV9" t="str">
        <f>IF(Tab_Verfahren[[#This Row],[LosCh]]=0,"",IF(_xlfn.RANK.EQ(Tabelle16[[#This Row],[Zufall]],Tabelle16[Zufall])&lt;=Tab_Verfahren[[#Totals],[LosCh]],"SITZ ("&amp;TEXT(Tabelle16[[#This Row],[Zufall]],",0000")&amp;")","NIETE ("&amp;TEXT(Tabelle16[[#This Row],[Zufall]],",0000")&amp;")"))</f>
        <v/>
      </c>
      <c r="AW9" s="131" t="str">
        <f>IF(Pattverfahren="Stimmen",Tabelle16[[#This Row],[Stimmenzahl]],IF(Pattverfahren="Verlosung",Tabelle16[[#This Row],[Verlosung]],""))</f>
        <v/>
      </c>
      <c r="AX9" s="96"/>
      <c r="AY9" s="96"/>
      <c r="AZ9" s="96"/>
      <c r="BA9" s="96"/>
      <c r="BB9" s="96"/>
      <c r="BC9" s="96"/>
      <c r="BD9" s="96"/>
      <c r="BE9" s="96"/>
      <c r="BF9" s="96"/>
      <c r="BG9" s="96"/>
    </row>
    <row r="10" spans="1:73" x14ac:dyDescent="0.25">
      <c r="B10" s="104" t="s">
        <v>4</v>
      </c>
      <c r="C10" s="124">
        <v>3210</v>
      </c>
      <c r="D10" s="104">
        <v>8</v>
      </c>
      <c r="E10" s="96"/>
      <c r="F10" s="125" t="str">
        <f>IFERROR(IF(ISBLANK(Tab_Verschiebungen[[#This Row],[NameNeu]]),Tab_Wahlergebnis[[#This Row],[Name]],""),"")</f>
        <v>SPD</v>
      </c>
      <c r="G10" s="104"/>
      <c r="H10" s="127" t="str">
        <f>IF(ISBLANK(Tab_Verschiebungen[[#This Row],[NameNeu]]),Tab_Verschiebungen[[#This Row],[NameAlt]],Tab_Verschiebungen[[#This Row],[NameNeu]])</f>
        <v>SPD</v>
      </c>
      <c r="I10" s="104"/>
      <c r="J10" s="104">
        <v>1</v>
      </c>
      <c r="K10">
        <f>IFERROR(Tab_Wahlergebnis[[#This Row],[SitzeHO]],0)+Tab_Verschiebungen[[#This Row],[Plus]]-Tab_Verschiebungen[[#This Row],[Minus]]</f>
        <v>7</v>
      </c>
      <c r="M10" s="111">
        <f>Tab_Verschiebungen[[#This Row],[SitzeHO]]/Tab_Wahlergebnis[[#Totals],[SitzeHO]]*Aussschussgröße</f>
        <v>1.3</v>
      </c>
      <c r="N10" s="110">
        <f>ROUNDDOWN(Tab_QKSicher[[#This Row],[Ideal]],0)</f>
        <v>1</v>
      </c>
      <c r="O10" s="110">
        <f>ROUNDUP(Tab_QKSicher[[#This Row],[Ideal]],0)</f>
        <v>2</v>
      </c>
      <c r="P10" s="112" t="str">
        <f>IF(Tab_QKSicher[[#This Row],[QK_Min]]=Tab_QKSicher[[#This Row],[QK_Max]],"genau "&amp;Tab_QKSicher[[#This Row],[QK_Min]],Tab_QKSicher[[#This Row],[QK_Min]]&amp;" oder "&amp;Tab_QKSicher[[#This Row],[QK_Max]])</f>
        <v>1 oder 2</v>
      </c>
      <c r="Q10" s="110" t="b">
        <f>Tab_Verschiebungen[[#This Row],[SitzeHO]]&gt;Tab_Wahlergebnis[[#Totals],[SitzeHO]]/(1+Aussschussgröße)</f>
        <v>1</v>
      </c>
      <c r="S10" s="123" t="str">
        <f>IF(COUNTIF(Tab_AG[AG],Tab_AG[[#This Row],[Name_Hilf]])&gt;0,Tab_AG[[#This Row],[AGName]],Tab_AG[[#This Row],[Name_Hilf]])</f>
        <v>SPD</v>
      </c>
      <c r="T10" s="104"/>
      <c r="U10" s="123" t="str">
        <f>IFERROR(Tab_Verschiebungen[[#This Row],[Name]],"AG"&amp;ROW()-ROW(Tab_AG[[#Headers],[Name_Hilf]])-ROWS(Tab_QKSicher[Ideal]))</f>
        <v>SPD</v>
      </c>
      <c r="V10" s="113">
        <f>IFERROR(Tab_Verschiebungen[[#This Row],[SitzeHO]],0)</f>
        <v>7</v>
      </c>
      <c r="W10" s="113" t="str">
        <f>IF(ROW()=ROW(Tab_AG[[#Headers],[AGN_Alt]])+1,"",X9)</f>
        <v/>
      </c>
      <c r="X10" s="113" t="str">
        <f>IF(ISBLANK(Tab_AG[[#This Row],[AG]]),Tab_AG[[#This Row],[AGN_Alt]],IF(ISERROR(FIND(Tab_AG[[#This Row],[AG]],Tab_AG[[#This Row],[AGN_Alt]])),Tab_AG[[#This Row],[AGN_Alt]]&amp;Tab_AG[[#This Row],[AG]]&amp;"[~"&amp;MID(Tab_AG[[#This Row],[Name_Hilf]],1,3)&amp;"]",SUBSTITUTE(Tab_AG[[#This Row],[AGN_Alt]],Tab_AG[[#This Row],[AG]]&amp;"[~",Tab_AG[[#This Row],[AG]]&amp;"[~"&amp;MID(Tab_AG[[#This Row],[Name_Hilf]],1,3)&amp;"+")))</f>
        <v/>
      </c>
      <c r="Y10" s="113">
        <f>IFERROR(FIND(Tab_AG[[#This Row],[Name_Hilf]]&amp;"[~",Tab_AG[[#This Row],[AGN_Neu]]),0)</f>
        <v>0</v>
      </c>
      <c r="Z10" s="113">
        <f>IFERROR(FIND("]",Tab_AG[[#This Row],[AGN_Neu]],Tab_AG[[#This Row],[SuchBeginn]]),0)</f>
        <v>0</v>
      </c>
      <c r="AA10" s="113" t="str">
        <f>IFERROR(SUBSTITUTE(MID(Tab_AG[[#This Row],[AGN_Neu]],Tab_AG[[#This Row],[SuchBeginn]],Tab_AG[[#This Row],[SuchKlammer]]-Tab_AG[[#This Row],[SuchBeginn]]+1),"~",""),"")</f>
        <v/>
      </c>
      <c r="AB10" s="118">
        <f>IFERROR(IF(ISBLANK(Tab_AG[[#This Row],[AG]]),Tab_Verschiebungen[[#This Row],[SitzeHO]],0),SUMIFS(Tab_AG[SItzeImHO_Hilf],Tab_AG[AG],Tab_AG[[#This Row],[Name_Hilf]]))</f>
        <v>7</v>
      </c>
      <c r="AD10" s="112" t="str">
        <f>IF(Tab_Verfahren[[#This Row],[QK_Min]]=Tab_Verfahren[[#This Row],[QK_Max]],"genau "&amp;Tab_Verfahren[[#This Row],[QK_Min]],Tab_Verfahren[[#This Row],[QK_Min]]&amp;" oder "&amp;Tab_Verfahren[[#This Row],[QK_Max]])</f>
        <v>1 oder 2</v>
      </c>
      <c r="AE10" s="110">
        <f>ROUNDDOWN(Aussschussgröße*Tab_AG[[#This Row],[SitzeHO]]/Tab_Wahlergebnis[[#Totals],[SitzeHO]],0)</f>
        <v>1</v>
      </c>
      <c r="AF10" s="110">
        <f>ROUNDUP(Aussschussgröße*Tab_AG[[#This Row],[SitzeHO]]/Tab_Wahlergebnis[[#Totals],[SitzeHO]],0)</f>
        <v>2</v>
      </c>
      <c r="AG10" s="119">
        <f>ROUND(Tab_AG[[#This Row],[SitzeHO]]/(Tab_Verfahren[[#This Row],[QK_Min]]+1),4)</f>
        <v>3.5</v>
      </c>
      <c r="AH10" s="119">
        <f>ROUND(Aussschussgröße*Tab_AG[[#This Row],[SitzeHO]]/Tab_Wahlergebnis[[#Totals],[SitzeHO]]-Tab_Verfahren[[#This Row],[QK_Min]],4)</f>
        <v>0.3</v>
      </c>
      <c r="AI10" s="119">
        <f>ROUND(Tab_AG[[#This Row],[SitzeHO]]/(Tab_Verfahren[[#This Row],[QK_Min]]*2+1),4)</f>
        <v>2.3332999999999999</v>
      </c>
      <c r="AJ10" s="120">
        <f>IF(Tab_Verfahren[[#This Row],[QK_Min]]=Tab_Verfahren[[#This Row],[QK_Max]],0,IF(Verfahren=VerfdH,Tab_Verfahren[[#This Row],[AZ_dH]],IF(Verfahren=VerfHN,Tab_Verfahren[[#This Row],[AZ_HN]],IF(Verfahren=VerfSLS,Tab_Verfahren[[#This Row],[AZ_SLS]],#N/A))))</f>
        <v>3.5</v>
      </c>
      <c r="AK10" s="120" t="str">
        <f>IF(Tab_Verfahren[[#This Row],[AZ]]&gt;0,Tab_Verfahren[[#This Row],[QK_Max]]&amp;". Sitz:   "&amp;IF(Verfahren=VerfdH,Tab_AG[[#This Row],[SitzeHO]]&amp;"/"&amp;Tab_Verfahren[[#This Row],[QK_Max]],"")&amp;IF(Verfahren=VerfSLS,Tab_AG[[#This Row],[SitzeHO]]&amp;"/"&amp;Tab_Verfahren[[#This Row],[QK_Max]]*2-1,"")&amp;IF(Verfahren=VerfHN,Tab_AG[[#This Row],[SitzeHO]]&amp;"/"&amp;Tab_AG[[#Totals],[SitzeHO]]&amp;"*"&amp;Aussschussgröße&amp;"-"&amp;Tab_Verfahren[[#This Row],[QK_Min]],"")&amp;" = "&amp;TEXT(Tab_Verfahren[[#This Row],[AZ]],"0,000"),"")</f>
        <v>2. Sitz:   7/2 = 3,500</v>
      </c>
      <c r="AL10" s="121">
        <f>_xlfn.RANK.EQ(Tab_Verfahren[[#This Row],[AZ]],Tab_Verfahren[AZ],0)</f>
        <v>4</v>
      </c>
      <c r="AM10" s="119" t="str">
        <f>IF(COUNTIFS(Tab_Verfahren[Rang],"&lt;="&amp;Tab_Verfahren[[#This Row],[Rang]])&lt;=Aussschussgröße-SUM(Tab_Verfahren[QK_Min]),"SITZ",IF(COUNTIFS(Tab_Verfahren[Rang],"&lt;"&amp;Tab_Verfahren[[#This Row],[Rang]])&lt;Aussschussgröße-SUM(Tab_Verfahren[QK_Min]),"PATT",""))</f>
        <v>SITZ</v>
      </c>
      <c r="AN10" s="118">
        <f>Tab_Verfahren[[#This Row],[QK_Min]]+IF(Tab_Verfahren[[#This Row],[Status]]="SITZ",1,0)</f>
        <v>2</v>
      </c>
      <c r="AO10" s="122">
        <f>IF(Tab_Verfahren[[#This Row],[Status]]&lt;&gt;"PATT",0,(Aussschussgröße-SUM(Tab_Verfahren[Sitze]))/COUNTIFS(Tab_Verfahren[Status],"PATT"))</f>
        <v>0</v>
      </c>
      <c r="AP10" s="96"/>
      <c r="AQ10" t="b">
        <f>OR(Tab_Verfahren[[#This Row],[LosCh]]=0,IFERROR(AND(ISNUMBER(Tab_Wahlergebnis[[#This Row],[Stimmen]]),Tab_Verschiebungen[[#This Row],[Plus]]+Tab_Verschiebungen[[#This Row],[Minus]]=0),FALSE))</f>
        <v>1</v>
      </c>
      <c r="AR10">
        <f>IF(AND(AND(Tabelle16[StimmenZul]),Tab_Verfahren[[#This Row],[LosCh]]&gt;0),Tab_Wahlergebnis[[#This Row],[Stimmen]],0)</f>
        <v>0</v>
      </c>
      <c r="AS10" t="b">
        <f>RANK(Tabelle16[[#This Row],[StimmenSitz]],Tabelle16[StimmenSitz],0)&lt;=Tab_Verfahren[[#Totals],[LosCh]]</f>
        <v>1</v>
      </c>
      <c r="AT10" s="97" t="str">
        <f>IF(Tab_Verfahren[[#This Row],[LosCh]]=0,"",IF(NOT(AND(Tabelle16[StimmenZul])),"UNZULÄSSIG",IF(Tabelle16[[#This Row],[StRang]],"SITZ ("&amp;Tabelle16[[#This Row],[StimmenSitz]]&amp;")","K. SITZ ("&amp;Tabelle16[[#This Row],[StimmenSitz]]&amp;")")))</f>
        <v/>
      </c>
      <c r="AU10" s="105">
        <f ca="1">RAND()*Tab_Verfahren[[#This Row],[LosCh]]</f>
        <v>0</v>
      </c>
      <c r="AV10" t="str">
        <f>IF(Tab_Verfahren[[#This Row],[LosCh]]=0,"",IF(_xlfn.RANK.EQ(Tabelle16[[#This Row],[Zufall]],Tabelle16[Zufall])&lt;=Tab_Verfahren[[#Totals],[LosCh]],"SITZ ("&amp;TEXT(Tabelle16[[#This Row],[Zufall]],",0000")&amp;")","NIETE ("&amp;TEXT(Tabelle16[[#This Row],[Zufall]],",0000")&amp;")"))</f>
        <v/>
      </c>
      <c r="AW10" s="131" t="str">
        <f>IF(Pattverfahren="Stimmen",Tabelle16[[#This Row],[Stimmenzahl]],IF(Pattverfahren="Verlosung",Tabelle16[[#This Row],[Verlosung]],""))</f>
        <v/>
      </c>
      <c r="AX10" s="96"/>
      <c r="AY10" s="96"/>
      <c r="AZ10" s="96"/>
      <c r="BA10" s="96"/>
      <c r="BB10" s="96"/>
      <c r="BC10" s="96"/>
      <c r="BD10" s="96"/>
      <c r="BE10" s="96"/>
      <c r="BF10" s="96"/>
      <c r="BG10" s="96"/>
    </row>
    <row r="11" spans="1:73" x14ac:dyDescent="0.25">
      <c r="B11" s="104" t="s">
        <v>3</v>
      </c>
      <c r="C11" s="124">
        <v>2345</v>
      </c>
      <c r="D11" s="104">
        <v>6</v>
      </c>
      <c r="E11" s="96"/>
      <c r="F11" s="125" t="str">
        <f>IFERROR(IF(ISBLANK(Tab_Verschiebungen[[#This Row],[NameNeu]]),Tab_Wahlergebnis[[#This Row],[Name]],""),"")</f>
        <v>AfD</v>
      </c>
      <c r="G11" s="104"/>
      <c r="H11" s="127" t="str">
        <f>IF(ISBLANK(Tab_Verschiebungen[[#This Row],[NameNeu]]),Tab_Verschiebungen[[#This Row],[NameAlt]],Tab_Verschiebungen[[#This Row],[NameNeu]])</f>
        <v>AfD</v>
      </c>
      <c r="I11" s="104"/>
      <c r="J11" s="104"/>
      <c r="K11">
        <f>IFERROR(Tab_Wahlergebnis[[#This Row],[SitzeHO]],0)+Tab_Verschiebungen[[#This Row],[Plus]]-Tab_Verschiebungen[[#This Row],[Minus]]</f>
        <v>6</v>
      </c>
      <c r="M11" s="111">
        <f>Tab_Verschiebungen[[#This Row],[SitzeHO]]/Tab_Wahlergebnis[[#Totals],[SitzeHO]]*Aussschussgröße</f>
        <v>1.1142857142857143</v>
      </c>
      <c r="N11" s="110">
        <f>ROUNDDOWN(Tab_QKSicher[[#This Row],[Ideal]],0)</f>
        <v>1</v>
      </c>
      <c r="O11" s="110">
        <f>ROUNDUP(Tab_QKSicher[[#This Row],[Ideal]],0)</f>
        <v>2</v>
      </c>
      <c r="P11" s="112" t="str">
        <f>IF(Tab_QKSicher[[#This Row],[QK_Min]]=Tab_QKSicher[[#This Row],[QK_Max]],"genau "&amp;Tab_QKSicher[[#This Row],[QK_Min]],Tab_QKSicher[[#This Row],[QK_Min]]&amp;" oder "&amp;Tab_QKSicher[[#This Row],[QK_Max]])</f>
        <v>1 oder 2</v>
      </c>
      <c r="Q11" s="110" t="b">
        <f>Tab_Verschiebungen[[#This Row],[SitzeHO]]&gt;Tab_Wahlergebnis[[#Totals],[SitzeHO]]/(1+Aussschussgröße)</f>
        <v>1</v>
      </c>
      <c r="S11" s="123" t="str">
        <f>IF(COUNTIF(Tab_AG[AG],Tab_AG[[#This Row],[Name_Hilf]])&gt;0,Tab_AG[[#This Row],[AGName]],Tab_AG[[#This Row],[Name_Hilf]])</f>
        <v>AfD</v>
      </c>
      <c r="T11" s="104"/>
      <c r="U11" s="123" t="str">
        <f>IFERROR(Tab_Verschiebungen[[#This Row],[Name]],"AG"&amp;ROW()-ROW(Tab_AG[[#Headers],[Name_Hilf]])-ROWS(Tab_QKSicher[Ideal]))</f>
        <v>AfD</v>
      </c>
      <c r="V11" s="113">
        <f>IFERROR(Tab_Verschiebungen[[#This Row],[SitzeHO]],0)</f>
        <v>6</v>
      </c>
      <c r="W11" s="113" t="str">
        <f>IF(ROW()=ROW(Tab_AG[[#Headers],[AGN_Alt]])+1,"",X10)</f>
        <v/>
      </c>
      <c r="X11" s="113" t="str">
        <f>IF(ISBLANK(Tab_AG[[#This Row],[AG]]),Tab_AG[[#This Row],[AGN_Alt]],IF(ISERROR(FIND(Tab_AG[[#This Row],[AG]],Tab_AG[[#This Row],[AGN_Alt]])),Tab_AG[[#This Row],[AGN_Alt]]&amp;Tab_AG[[#This Row],[AG]]&amp;"[~"&amp;MID(Tab_AG[[#This Row],[Name_Hilf]],1,3)&amp;"]",SUBSTITUTE(Tab_AG[[#This Row],[AGN_Alt]],Tab_AG[[#This Row],[AG]]&amp;"[~",Tab_AG[[#This Row],[AG]]&amp;"[~"&amp;MID(Tab_AG[[#This Row],[Name_Hilf]],1,3)&amp;"+")))</f>
        <v/>
      </c>
      <c r="Y11" s="113">
        <f>IFERROR(FIND(Tab_AG[[#This Row],[Name_Hilf]]&amp;"[~",Tab_AG[[#This Row],[AGN_Neu]]),0)</f>
        <v>0</v>
      </c>
      <c r="Z11" s="113">
        <f>IFERROR(FIND("]",Tab_AG[[#This Row],[AGN_Neu]],Tab_AG[[#This Row],[SuchBeginn]]),0)</f>
        <v>0</v>
      </c>
      <c r="AA11" s="113" t="str">
        <f>IFERROR(SUBSTITUTE(MID(Tab_AG[[#This Row],[AGN_Neu]],Tab_AG[[#This Row],[SuchBeginn]],Tab_AG[[#This Row],[SuchKlammer]]-Tab_AG[[#This Row],[SuchBeginn]]+1),"~",""),"")</f>
        <v/>
      </c>
      <c r="AB11" s="118">
        <f>IFERROR(IF(ISBLANK(Tab_AG[[#This Row],[AG]]),Tab_Verschiebungen[[#This Row],[SitzeHO]],0),SUMIFS(Tab_AG[SItzeImHO_Hilf],Tab_AG[AG],Tab_AG[[#This Row],[Name_Hilf]]))</f>
        <v>6</v>
      </c>
      <c r="AD11" s="112" t="str">
        <f>IF(Tab_Verfahren[[#This Row],[QK_Min]]=Tab_Verfahren[[#This Row],[QK_Max]],"genau "&amp;Tab_Verfahren[[#This Row],[QK_Min]],Tab_Verfahren[[#This Row],[QK_Min]]&amp;" oder "&amp;Tab_Verfahren[[#This Row],[QK_Max]])</f>
        <v>1 oder 2</v>
      </c>
      <c r="AE11" s="110">
        <f>ROUNDDOWN(Aussschussgröße*Tab_AG[[#This Row],[SitzeHO]]/Tab_Wahlergebnis[[#Totals],[SitzeHO]],0)</f>
        <v>1</v>
      </c>
      <c r="AF11" s="110">
        <f>ROUNDUP(Aussschussgröße*Tab_AG[[#This Row],[SitzeHO]]/Tab_Wahlergebnis[[#Totals],[SitzeHO]],0)</f>
        <v>2</v>
      </c>
      <c r="AG11" s="119">
        <f>ROUND(Tab_AG[[#This Row],[SitzeHO]]/(Tab_Verfahren[[#This Row],[QK_Min]]+1),4)</f>
        <v>3</v>
      </c>
      <c r="AH11" s="119">
        <f>ROUND(Aussschussgröße*Tab_AG[[#This Row],[SitzeHO]]/Tab_Wahlergebnis[[#Totals],[SitzeHO]]-Tab_Verfahren[[#This Row],[QK_Min]],4)</f>
        <v>0.1143</v>
      </c>
      <c r="AI11" s="119">
        <f>ROUND(Tab_AG[[#This Row],[SitzeHO]]/(Tab_Verfahren[[#This Row],[QK_Min]]*2+1),4)</f>
        <v>2</v>
      </c>
      <c r="AJ11" s="120">
        <f>IF(Tab_Verfahren[[#This Row],[QK_Min]]=Tab_Verfahren[[#This Row],[QK_Max]],0,IF(Verfahren=VerfdH,Tab_Verfahren[[#This Row],[AZ_dH]],IF(Verfahren=VerfHN,Tab_Verfahren[[#This Row],[AZ_HN]],IF(Verfahren=VerfSLS,Tab_Verfahren[[#This Row],[AZ_SLS]],#N/A))))</f>
        <v>3</v>
      </c>
      <c r="AK11" s="120" t="str">
        <f>IF(Tab_Verfahren[[#This Row],[AZ]]&gt;0,Tab_Verfahren[[#This Row],[QK_Max]]&amp;". Sitz:   "&amp;IF(Verfahren=VerfdH,Tab_AG[[#This Row],[SitzeHO]]&amp;"/"&amp;Tab_Verfahren[[#This Row],[QK_Max]],"")&amp;IF(Verfahren=VerfSLS,Tab_AG[[#This Row],[SitzeHO]]&amp;"/"&amp;Tab_Verfahren[[#This Row],[QK_Max]]*2-1,"")&amp;IF(Verfahren=VerfHN,Tab_AG[[#This Row],[SitzeHO]]&amp;"/"&amp;Tab_AG[[#Totals],[SitzeHO]]&amp;"*"&amp;Aussschussgröße&amp;"-"&amp;Tab_Verfahren[[#This Row],[QK_Min]],"")&amp;" = "&amp;TEXT(Tab_Verfahren[[#This Row],[AZ]],"0,000"),"")</f>
        <v>2. Sitz:   6/2 = 3,000</v>
      </c>
      <c r="AL11" s="121">
        <f>_xlfn.RANK.EQ(Tab_Verfahren[[#This Row],[AZ]],Tab_Verfahren[AZ],0)</f>
        <v>5</v>
      </c>
      <c r="AM11" s="119" t="str">
        <f>IF(COUNTIFS(Tab_Verfahren[Rang],"&lt;="&amp;Tab_Verfahren[[#This Row],[Rang]])&lt;=Aussschussgröße-SUM(Tab_Verfahren[QK_Min]),"SITZ",IF(COUNTIFS(Tab_Verfahren[Rang],"&lt;"&amp;Tab_Verfahren[[#This Row],[Rang]])&lt;Aussschussgröße-SUM(Tab_Verfahren[QK_Min]),"PATT",""))</f>
        <v>PATT</v>
      </c>
      <c r="AN11" s="118">
        <f>Tab_Verfahren[[#This Row],[QK_Min]]+IF(Tab_Verfahren[[#This Row],[Status]]="SITZ",1,0)</f>
        <v>1</v>
      </c>
      <c r="AO11" s="122">
        <f>IF(Tab_Verfahren[[#This Row],[Status]]&lt;&gt;"PATT",0,(Aussschussgröße-SUM(Tab_Verfahren[Sitze]))/COUNTIFS(Tab_Verfahren[Status],"PATT"))</f>
        <v>0.25</v>
      </c>
      <c r="AP11" s="96"/>
      <c r="AQ11" t="b">
        <f>OR(Tab_Verfahren[[#This Row],[LosCh]]=0,IFERROR(AND(ISNUMBER(Tab_Wahlergebnis[[#This Row],[Stimmen]]),Tab_Verschiebungen[[#This Row],[Plus]]+Tab_Verschiebungen[[#This Row],[Minus]]=0),FALSE))</f>
        <v>1</v>
      </c>
      <c r="AR11">
        <f>IF(AND(AND(Tabelle16[StimmenZul]),Tab_Verfahren[[#This Row],[LosCh]]&gt;0),Tab_Wahlergebnis[[#This Row],[Stimmen]],0)</f>
        <v>0</v>
      </c>
      <c r="AS11" t="b">
        <f>RANK(Tabelle16[[#This Row],[StimmenSitz]],Tabelle16[StimmenSitz],0)&lt;=Tab_Verfahren[[#Totals],[LosCh]]</f>
        <v>1</v>
      </c>
      <c r="AT11" s="97" t="str">
        <f>IF(Tab_Verfahren[[#This Row],[LosCh]]=0,"",IF(NOT(AND(Tabelle16[StimmenZul])),"UNZULÄSSIG",IF(Tabelle16[[#This Row],[StRang]],"SITZ ("&amp;Tabelle16[[#This Row],[StimmenSitz]]&amp;")","K. SITZ ("&amp;Tabelle16[[#This Row],[StimmenSitz]]&amp;")")))</f>
        <v>UNZULÄSSIG</v>
      </c>
      <c r="AU11" s="105">
        <f ca="1">RAND()*Tab_Verfahren[[#This Row],[LosCh]]</f>
        <v>9.0580230630714853E-2</v>
      </c>
      <c r="AV11" t="str">
        <f ca="1">IF(Tab_Verfahren[[#This Row],[LosCh]]=0,"",IF(_xlfn.RANK.EQ(Tabelle16[[#This Row],[Zufall]],Tabelle16[Zufall])&lt;=Tab_Verfahren[[#Totals],[LosCh]],"SITZ ("&amp;TEXT(Tabelle16[[#This Row],[Zufall]],",0000")&amp;")","NIETE ("&amp;TEXT(Tabelle16[[#This Row],[Zufall]],",0000")&amp;")"))</f>
        <v>NIETE (,0906)</v>
      </c>
      <c r="AW11" s="131" t="str">
        <f ca="1">IF(Pattverfahren="Stimmen",Tabelle16[[#This Row],[Stimmenzahl]],IF(Pattverfahren="Verlosung",Tabelle16[[#This Row],[Verlosung]],""))</f>
        <v>NIETE (,0906)</v>
      </c>
      <c r="AX11" s="96"/>
      <c r="AY11" s="96"/>
      <c r="AZ11" s="96"/>
      <c r="BA11" s="96"/>
      <c r="BB11" s="96"/>
      <c r="BC11" s="96"/>
      <c r="BD11" s="96"/>
      <c r="BE11" s="96"/>
      <c r="BF11" s="96"/>
      <c r="BG11" s="96"/>
    </row>
    <row r="12" spans="1:73" x14ac:dyDescent="0.25">
      <c r="B12" s="104" t="s">
        <v>5</v>
      </c>
      <c r="C12" s="124">
        <v>1234</v>
      </c>
      <c r="D12" s="104">
        <v>4</v>
      </c>
      <c r="E12" s="96"/>
      <c r="F12" s="125" t="str">
        <f>IFERROR(IF(ISBLANK(Tab_Verschiebungen[[#This Row],[NameNeu]]),Tab_Wahlergebnis[[#This Row],[Name]],""),"")</f>
        <v>FDP</v>
      </c>
      <c r="G12" s="104"/>
      <c r="H12" s="127" t="str">
        <f>IF(ISBLANK(Tab_Verschiebungen[[#This Row],[NameNeu]]),Tab_Verschiebungen[[#This Row],[NameAlt]],Tab_Verschiebungen[[#This Row],[NameNeu]])</f>
        <v>FDP</v>
      </c>
      <c r="I12" s="104"/>
      <c r="J12" s="104">
        <v>1</v>
      </c>
      <c r="K12">
        <f>IFERROR(Tab_Wahlergebnis[[#This Row],[SitzeHO]],0)+Tab_Verschiebungen[[#This Row],[Plus]]-Tab_Verschiebungen[[#This Row],[Minus]]</f>
        <v>3</v>
      </c>
      <c r="M12" s="111">
        <f>Tab_Verschiebungen[[#This Row],[SitzeHO]]/Tab_Wahlergebnis[[#Totals],[SitzeHO]]*Aussschussgröße</f>
        <v>0.55714285714285716</v>
      </c>
      <c r="N12" s="110">
        <f>ROUNDDOWN(Tab_QKSicher[[#This Row],[Ideal]],0)</f>
        <v>0</v>
      </c>
      <c r="O12" s="110">
        <f>ROUNDUP(Tab_QKSicher[[#This Row],[Ideal]],0)</f>
        <v>1</v>
      </c>
      <c r="P12" s="112" t="str">
        <f>IF(Tab_QKSicher[[#This Row],[QK_Min]]=Tab_QKSicher[[#This Row],[QK_Max]],"genau "&amp;Tab_QKSicher[[#This Row],[QK_Min]],Tab_QKSicher[[#This Row],[QK_Min]]&amp;" oder "&amp;Tab_QKSicher[[#This Row],[QK_Max]])</f>
        <v>0 oder 1</v>
      </c>
      <c r="Q12" s="110" t="b">
        <f>Tab_Verschiebungen[[#This Row],[SitzeHO]]&gt;Tab_Wahlergebnis[[#Totals],[SitzeHO]]/(1+Aussschussgröße)</f>
        <v>0</v>
      </c>
      <c r="S12" s="123" t="str">
        <f>IF(COUNTIF(Tab_AG[AG],Tab_AG[[#This Row],[Name_Hilf]])&gt;0,Tab_AG[[#This Row],[AGName]],Tab_AG[[#This Row],[Name_Hilf]])</f>
        <v>FDP</v>
      </c>
      <c r="T12" s="104"/>
      <c r="U12" s="123" t="str">
        <f>IFERROR(Tab_Verschiebungen[[#This Row],[Name]],"AG"&amp;ROW()-ROW(Tab_AG[[#Headers],[Name_Hilf]])-ROWS(Tab_QKSicher[Ideal]))</f>
        <v>FDP</v>
      </c>
      <c r="V12" s="113">
        <f>IFERROR(Tab_Verschiebungen[[#This Row],[SitzeHO]],0)</f>
        <v>3</v>
      </c>
      <c r="W12" s="113" t="str">
        <f>IF(ROW()=ROW(Tab_AG[[#Headers],[AGN_Alt]])+1,"",X11)</f>
        <v/>
      </c>
      <c r="X12" s="113" t="str">
        <f>IF(ISBLANK(Tab_AG[[#This Row],[AG]]),Tab_AG[[#This Row],[AGN_Alt]],IF(ISERROR(FIND(Tab_AG[[#This Row],[AG]],Tab_AG[[#This Row],[AGN_Alt]])),Tab_AG[[#This Row],[AGN_Alt]]&amp;Tab_AG[[#This Row],[AG]]&amp;"[~"&amp;MID(Tab_AG[[#This Row],[Name_Hilf]],1,3)&amp;"]",SUBSTITUTE(Tab_AG[[#This Row],[AGN_Alt]],Tab_AG[[#This Row],[AG]]&amp;"[~",Tab_AG[[#This Row],[AG]]&amp;"[~"&amp;MID(Tab_AG[[#This Row],[Name_Hilf]],1,3)&amp;"+")))</f>
        <v/>
      </c>
      <c r="Y12" s="113">
        <f>IFERROR(FIND(Tab_AG[[#This Row],[Name_Hilf]]&amp;"[~",Tab_AG[[#This Row],[AGN_Neu]]),0)</f>
        <v>0</v>
      </c>
      <c r="Z12" s="113">
        <f>IFERROR(FIND("]",Tab_AG[[#This Row],[AGN_Neu]],Tab_AG[[#This Row],[SuchBeginn]]),0)</f>
        <v>0</v>
      </c>
      <c r="AA12" s="113" t="str">
        <f>IFERROR(SUBSTITUTE(MID(Tab_AG[[#This Row],[AGN_Neu]],Tab_AG[[#This Row],[SuchBeginn]],Tab_AG[[#This Row],[SuchKlammer]]-Tab_AG[[#This Row],[SuchBeginn]]+1),"~",""),"")</f>
        <v/>
      </c>
      <c r="AB12" s="118">
        <f>IFERROR(IF(ISBLANK(Tab_AG[[#This Row],[AG]]),Tab_Verschiebungen[[#This Row],[SitzeHO]],0),SUMIFS(Tab_AG[SItzeImHO_Hilf],Tab_AG[AG],Tab_AG[[#This Row],[Name_Hilf]]))</f>
        <v>3</v>
      </c>
      <c r="AD12" s="112" t="str">
        <f>IF(Tab_Verfahren[[#This Row],[QK_Min]]=Tab_Verfahren[[#This Row],[QK_Max]],"genau "&amp;Tab_Verfahren[[#This Row],[QK_Min]],Tab_Verfahren[[#This Row],[QK_Min]]&amp;" oder "&amp;Tab_Verfahren[[#This Row],[QK_Max]])</f>
        <v>0 oder 1</v>
      </c>
      <c r="AE12" s="110">
        <f>ROUNDDOWN(Aussschussgröße*Tab_AG[[#This Row],[SitzeHO]]/Tab_Wahlergebnis[[#Totals],[SitzeHO]],0)</f>
        <v>0</v>
      </c>
      <c r="AF12" s="110">
        <f>ROUNDUP(Aussschussgröße*Tab_AG[[#This Row],[SitzeHO]]/Tab_Wahlergebnis[[#Totals],[SitzeHO]],0)</f>
        <v>1</v>
      </c>
      <c r="AG12" s="119">
        <f>ROUND(Tab_AG[[#This Row],[SitzeHO]]/(Tab_Verfahren[[#This Row],[QK_Min]]+1),4)</f>
        <v>3</v>
      </c>
      <c r="AH12" s="119">
        <f>ROUND(Aussschussgröße*Tab_AG[[#This Row],[SitzeHO]]/Tab_Wahlergebnis[[#Totals],[SitzeHO]]-Tab_Verfahren[[#This Row],[QK_Min]],4)</f>
        <v>0.55710000000000004</v>
      </c>
      <c r="AI12" s="119">
        <f>ROUND(Tab_AG[[#This Row],[SitzeHO]]/(Tab_Verfahren[[#This Row],[QK_Min]]*2+1),4)</f>
        <v>3</v>
      </c>
      <c r="AJ12" s="120">
        <f>IF(Tab_Verfahren[[#This Row],[QK_Min]]=Tab_Verfahren[[#This Row],[QK_Max]],0,IF(Verfahren=VerfdH,Tab_Verfahren[[#This Row],[AZ_dH]],IF(Verfahren=VerfHN,Tab_Verfahren[[#This Row],[AZ_HN]],IF(Verfahren=VerfSLS,Tab_Verfahren[[#This Row],[AZ_SLS]],#N/A))))</f>
        <v>3</v>
      </c>
      <c r="AK12" s="120" t="str">
        <f>IF(Tab_Verfahren[[#This Row],[AZ]]&gt;0,Tab_Verfahren[[#This Row],[QK_Max]]&amp;". Sitz:   "&amp;IF(Verfahren=VerfdH,Tab_AG[[#This Row],[SitzeHO]]&amp;"/"&amp;Tab_Verfahren[[#This Row],[QK_Max]],"")&amp;IF(Verfahren=VerfSLS,Tab_AG[[#This Row],[SitzeHO]]&amp;"/"&amp;Tab_Verfahren[[#This Row],[QK_Max]]*2-1,"")&amp;IF(Verfahren=VerfHN,Tab_AG[[#This Row],[SitzeHO]]&amp;"/"&amp;Tab_AG[[#Totals],[SitzeHO]]&amp;"*"&amp;Aussschussgröße&amp;"-"&amp;Tab_Verfahren[[#This Row],[QK_Min]],"")&amp;" = "&amp;TEXT(Tab_Verfahren[[#This Row],[AZ]],"0,000"),"")</f>
        <v>1. Sitz:   3/1 = 3,000</v>
      </c>
      <c r="AL12" s="121">
        <f>_xlfn.RANK.EQ(Tab_Verfahren[[#This Row],[AZ]],Tab_Verfahren[AZ],0)</f>
        <v>5</v>
      </c>
      <c r="AM12" s="119" t="str">
        <f>IF(COUNTIFS(Tab_Verfahren[Rang],"&lt;="&amp;Tab_Verfahren[[#This Row],[Rang]])&lt;=Aussschussgröße-SUM(Tab_Verfahren[QK_Min]),"SITZ",IF(COUNTIFS(Tab_Verfahren[Rang],"&lt;"&amp;Tab_Verfahren[[#This Row],[Rang]])&lt;Aussschussgröße-SUM(Tab_Verfahren[QK_Min]),"PATT",""))</f>
        <v>PATT</v>
      </c>
      <c r="AN12" s="118">
        <f>Tab_Verfahren[[#This Row],[QK_Min]]+IF(Tab_Verfahren[[#This Row],[Status]]="SITZ",1,0)</f>
        <v>0</v>
      </c>
      <c r="AO12" s="122">
        <f>IF(Tab_Verfahren[[#This Row],[Status]]&lt;&gt;"PATT",0,(Aussschussgröße-SUM(Tab_Verfahren[Sitze]))/COUNTIFS(Tab_Verfahren[Status],"PATT"))</f>
        <v>0.25</v>
      </c>
      <c r="AP12" s="96"/>
      <c r="AQ12" t="b">
        <f>OR(Tab_Verfahren[[#This Row],[LosCh]]=0,IFERROR(AND(ISNUMBER(Tab_Wahlergebnis[[#This Row],[Stimmen]]),Tab_Verschiebungen[[#This Row],[Plus]]+Tab_Verschiebungen[[#This Row],[Minus]]=0),FALSE))</f>
        <v>0</v>
      </c>
      <c r="AR12">
        <f>IF(AND(AND(Tabelle16[StimmenZul]),Tab_Verfahren[[#This Row],[LosCh]]&gt;0),Tab_Wahlergebnis[[#This Row],[Stimmen]],0)</f>
        <v>0</v>
      </c>
      <c r="AS12" t="b">
        <f>RANK(Tabelle16[[#This Row],[StimmenSitz]],Tabelle16[StimmenSitz],0)&lt;=Tab_Verfahren[[#Totals],[LosCh]]</f>
        <v>1</v>
      </c>
      <c r="AT12" s="97" t="str">
        <f>IF(Tab_Verfahren[[#This Row],[LosCh]]=0,"",IF(NOT(AND(Tabelle16[StimmenZul])),"UNZULÄSSIG",IF(Tabelle16[[#This Row],[StRang]],"SITZ ("&amp;Tabelle16[[#This Row],[StimmenSitz]]&amp;")","K. SITZ ("&amp;Tabelle16[[#This Row],[StimmenSitz]]&amp;")")))</f>
        <v>UNZULÄSSIG</v>
      </c>
      <c r="AU12" s="105">
        <f ca="1">RAND()*Tab_Verfahren[[#This Row],[LosCh]]</f>
        <v>0.10653246139520284</v>
      </c>
      <c r="AV12" t="str">
        <f ca="1">IF(Tab_Verfahren[[#This Row],[LosCh]]=0,"",IF(_xlfn.RANK.EQ(Tabelle16[[#This Row],[Zufall]],Tabelle16[Zufall])&lt;=Tab_Verfahren[[#Totals],[LosCh]],"SITZ ("&amp;TEXT(Tabelle16[[#This Row],[Zufall]],",0000")&amp;")","NIETE ("&amp;TEXT(Tabelle16[[#This Row],[Zufall]],",0000")&amp;")"))</f>
        <v>NIETE (,1065)</v>
      </c>
      <c r="AW12" s="131" t="str">
        <f ca="1">IF(Pattverfahren="Stimmen",Tabelle16[[#This Row],[Stimmenzahl]],IF(Pattverfahren="Verlosung",Tabelle16[[#This Row],[Verlosung]],""))</f>
        <v>NIETE (,1065)</v>
      </c>
      <c r="AX12" s="96"/>
      <c r="AY12" s="96"/>
      <c r="AZ12" s="96"/>
      <c r="BA12" s="96"/>
      <c r="BB12" s="96"/>
      <c r="BC12" s="96"/>
      <c r="BD12" s="96"/>
      <c r="BE12" s="96"/>
      <c r="BF12" s="96"/>
      <c r="BG12" s="96"/>
    </row>
    <row r="13" spans="1:73" x14ac:dyDescent="0.25">
      <c r="B13" s="104" t="s">
        <v>167</v>
      </c>
      <c r="C13" s="124">
        <v>1111</v>
      </c>
      <c r="D13" s="104">
        <v>3</v>
      </c>
      <c r="E13" s="96"/>
      <c r="F13" s="125" t="str">
        <f>IFERROR(IF(ISBLANK(Tab_Verschiebungen[[#This Row],[NameNeu]]),Tab_Wahlergebnis[[#This Row],[Name]],""),"")</f>
        <v>Linke</v>
      </c>
      <c r="G13" s="104"/>
      <c r="H13" s="127" t="str">
        <f>IF(ISBLANK(Tab_Verschiebungen[[#This Row],[NameNeu]]),Tab_Verschiebungen[[#This Row],[NameAlt]],Tab_Verschiebungen[[#This Row],[NameNeu]])</f>
        <v>Linke</v>
      </c>
      <c r="I13" s="104"/>
      <c r="J13" s="104">
        <v>1</v>
      </c>
      <c r="K13">
        <f>IFERROR(Tab_Wahlergebnis[[#This Row],[SitzeHO]],0)+Tab_Verschiebungen[[#This Row],[Plus]]-Tab_Verschiebungen[[#This Row],[Minus]]</f>
        <v>2</v>
      </c>
      <c r="M13" s="111">
        <f>Tab_Verschiebungen[[#This Row],[SitzeHO]]/Tab_Wahlergebnis[[#Totals],[SitzeHO]]*Aussschussgröße</f>
        <v>0.37142857142857144</v>
      </c>
      <c r="N13" s="110">
        <f>ROUNDDOWN(Tab_QKSicher[[#This Row],[Ideal]],0)</f>
        <v>0</v>
      </c>
      <c r="O13" s="110">
        <f>ROUNDUP(Tab_QKSicher[[#This Row],[Ideal]],0)</f>
        <v>1</v>
      </c>
      <c r="P13" s="112" t="str">
        <f>IF(Tab_QKSicher[[#This Row],[QK_Min]]=Tab_QKSicher[[#This Row],[QK_Max]],"genau "&amp;Tab_QKSicher[[#This Row],[QK_Min]],Tab_QKSicher[[#This Row],[QK_Min]]&amp;" oder "&amp;Tab_QKSicher[[#This Row],[QK_Max]])</f>
        <v>0 oder 1</v>
      </c>
      <c r="Q13" s="110" t="b">
        <f>Tab_Verschiebungen[[#This Row],[SitzeHO]]&gt;Tab_Wahlergebnis[[#Totals],[SitzeHO]]/(1+Aussschussgröße)</f>
        <v>0</v>
      </c>
      <c r="S13" s="123" t="str">
        <f>IF(COUNTIF(Tab_AG[AG],Tab_AG[[#This Row],[Name_Hilf]])&gt;0,Tab_AG[[#This Row],[AGName]],Tab_AG[[#This Row],[Name_Hilf]])</f>
        <v>Linke</v>
      </c>
      <c r="T13" s="104" t="s">
        <v>176</v>
      </c>
      <c r="U13" s="123" t="str">
        <f>IFERROR(Tab_Verschiebungen[[#This Row],[Name]],"AG"&amp;ROW()-ROW(Tab_AG[[#Headers],[Name_Hilf]])-ROWS(Tab_QKSicher[Ideal]))</f>
        <v>Linke</v>
      </c>
      <c r="V13" s="113">
        <f>IFERROR(Tab_Verschiebungen[[#This Row],[SitzeHO]],0)</f>
        <v>2</v>
      </c>
      <c r="W13" s="113" t="str">
        <f>IF(ROW()=ROW(Tab_AG[[#Headers],[AGN_Alt]])+1,"",X12)</f>
        <v/>
      </c>
      <c r="X13" s="113" t="str">
        <f>IF(ISBLANK(Tab_AG[[#This Row],[AG]]),Tab_AG[[#This Row],[AGN_Alt]],IF(ISERROR(FIND(Tab_AG[[#This Row],[AG]],Tab_AG[[#This Row],[AGN_Alt]])),Tab_AG[[#This Row],[AGN_Alt]]&amp;Tab_AG[[#This Row],[AG]]&amp;"[~"&amp;MID(Tab_AG[[#This Row],[Name_Hilf]],1,3)&amp;"]",SUBSTITUTE(Tab_AG[[#This Row],[AGN_Alt]],Tab_AG[[#This Row],[AG]]&amp;"[~",Tab_AG[[#This Row],[AG]]&amp;"[~"&amp;MID(Tab_AG[[#This Row],[Name_Hilf]],1,3)&amp;"+")))</f>
        <v>AG1[~Lin]</v>
      </c>
      <c r="Y13" s="113">
        <f>IFERROR(FIND(Tab_AG[[#This Row],[Name_Hilf]]&amp;"[~",Tab_AG[[#This Row],[AGN_Neu]]),0)</f>
        <v>0</v>
      </c>
      <c r="Z13" s="113">
        <f>IFERROR(FIND("]",Tab_AG[[#This Row],[AGN_Neu]],Tab_AG[[#This Row],[SuchBeginn]]),0)</f>
        <v>0</v>
      </c>
      <c r="AA13" s="113" t="str">
        <f>IFERROR(SUBSTITUTE(MID(Tab_AG[[#This Row],[AGN_Neu]],Tab_AG[[#This Row],[SuchBeginn]],Tab_AG[[#This Row],[SuchKlammer]]-Tab_AG[[#This Row],[SuchBeginn]]+1),"~",""),"")</f>
        <v/>
      </c>
      <c r="AB13" s="118">
        <f>IFERROR(IF(ISBLANK(Tab_AG[[#This Row],[AG]]),Tab_Verschiebungen[[#This Row],[SitzeHO]],0),SUMIFS(Tab_AG[SItzeImHO_Hilf],Tab_AG[AG],Tab_AG[[#This Row],[Name_Hilf]]))</f>
        <v>0</v>
      </c>
      <c r="AD13" s="112" t="str">
        <f>IF(Tab_Verfahren[[#This Row],[QK_Min]]=Tab_Verfahren[[#This Row],[QK_Max]],"genau "&amp;Tab_Verfahren[[#This Row],[QK_Min]],Tab_Verfahren[[#This Row],[QK_Min]]&amp;" oder "&amp;Tab_Verfahren[[#This Row],[QK_Max]])</f>
        <v>genau 0</v>
      </c>
      <c r="AE13" s="110">
        <f>ROUNDDOWN(Aussschussgröße*Tab_AG[[#This Row],[SitzeHO]]/Tab_Wahlergebnis[[#Totals],[SitzeHO]],0)</f>
        <v>0</v>
      </c>
      <c r="AF13" s="110">
        <f>ROUNDUP(Aussschussgröße*Tab_AG[[#This Row],[SitzeHO]]/Tab_Wahlergebnis[[#Totals],[SitzeHO]],0)</f>
        <v>0</v>
      </c>
      <c r="AG13" s="119">
        <f>ROUND(Tab_AG[[#This Row],[SitzeHO]]/(Tab_Verfahren[[#This Row],[QK_Min]]+1),4)</f>
        <v>0</v>
      </c>
      <c r="AH13" s="119">
        <f>ROUND(Aussschussgröße*Tab_AG[[#This Row],[SitzeHO]]/Tab_Wahlergebnis[[#Totals],[SitzeHO]]-Tab_Verfahren[[#This Row],[QK_Min]],4)</f>
        <v>0</v>
      </c>
      <c r="AI13" s="119">
        <f>ROUND(Tab_AG[[#This Row],[SitzeHO]]/(Tab_Verfahren[[#This Row],[QK_Min]]*2+1),4)</f>
        <v>0</v>
      </c>
      <c r="AJ13" s="120">
        <f>IF(Tab_Verfahren[[#This Row],[QK_Min]]=Tab_Verfahren[[#This Row],[QK_Max]],0,IF(Verfahren=VerfdH,Tab_Verfahren[[#This Row],[AZ_dH]],IF(Verfahren=VerfHN,Tab_Verfahren[[#This Row],[AZ_HN]],IF(Verfahren=VerfSLS,Tab_Verfahren[[#This Row],[AZ_SLS]],#N/A))))</f>
        <v>0</v>
      </c>
      <c r="AK13" s="120" t="str">
        <f>IF(Tab_Verfahren[[#This Row],[AZ]]&gt;0,Tab_Verfahren[[#This Row],[QK_Max]]&amp;". Sitz:   "&amp;IF(Verfahren=VerfdH,Tab_AG[[#This Row],[SitzeHO]]&amp;"/"&amp;Tab_Verfahren[[#This Row],[QK_Max]],"")&amp;IF(Verfahren=VerfSLS,Tab_AG[[#This Row],[SitzeHO]]&amp;"/"&amp;Tab_Verfahren[[#This Row],[QK_Max]]*2-1,"")&amp;IF(Verfahren=VerfHN,Tab_AG[[#This Row],[SitzeHO]]&amp;"/"&amp;Tab_AG[[#Totals],[SitzeHO]]&amp;"*"&amp;Aussschussgröße&amp;"-"&amp;Tab_Verfahren[[#This Row],[QK_Min]],"")&amp;" = "&amp;TEXT(Tab_Verfahren[[#This Row],[AZ]],"0,000"),"")</f>
        <v/>
      </c>
      <c r="AL13" s="121">
        <f>_xlfn.RANK.EQ(Tab_Verfahren[[#This Row],[AZ]],Tab_Verfahren[AZ],0)</f>
        <v>10</v>
      </c>
      <c r="AM13" s="119" t="str">
        <f>IF(COUNTIFS(Tab_Verfahren[Rang],"&lt;="&amp;Tab_Verfahren[[#This Row],[Rang]])&lt;=Aussschussgröße-SUM(Tab_Verfahren[QK_Min]),"SITZ",IF(COUNTIFS(Tab_Verfahren[Rang],"&lt;"&amp;Tab_Verfahren[[#This Row],[Rang]])&lt;Aussschussgröße-SUM(Tab_Verfahren[QK_Min]),"PATT",""))</f>
        <v/>
      </c>
      <c r="AN13" s="118">
        <f>Tab_Verfahren[[#This Row],[QK_Min]]+IF(Tab_Verfahren[[#This Row],[Status]]="SITZ",1,0)</f>
        <v>0</v>
      </c>
      <c r="AO13" s="122">
        <f>IF(Tab_Verfahren[[#This Row],[Status]]&lt;&gt;"PATT",0,(Aussschussgröße-SUM(Tab_Verfahren[Sitze]))/COUNTIFS(Tab_Verfahren[Status],"PATT"))</f>
        <v>0</v>
      </c>
      <c r="AP13" s="96"/>
      <c r="AQ13" t="b">
        <f>OR(Tab_Verfahren[[#This Row],[LosCh]]=0,IFERROR(AND(ISNUMBER(Tab_Wahlergebnis[[#This Row],[Stimmen]]),Tab_Verschiebungen[[#This Row],[Plus]]+Tab_Verschiebungen[[#This Row],[Minus]]=0),FALSE))</f>
        <v>1</v>
      </c>
      <c r="AR13">
        <f>IF(AND(AND(Tabelle16[StimmenZul]),Tab_Verfahren[[#This Row],[LosCh]]&gt;0),Tab_Wahlergebnis[[#This Row],[Stimmen]],0)</f>
        <v>0</v>
      </c>
      <c r="AS13" t="b">
        <f>RANK(Tabelle16[[#This Row],[StimmenSitz]],Tabelle16[StimmenSitz],0)&lt;=Tab_Verfahren[[#Totals],[LosCh]]</f>
        <v>1</v>
      </c>
      <c r="AT13" s="97" t="str">
        <f>IF(Tab_Verfahren[[#This Row],[LosCh]]=0,"",IF(NOT(AND(Tabelle16[StimmenZul])),"UNZULÄSSIG",IF(Tabelle16[[#This Row],[StRang]],"SITZ ("&amp;Tabelle16[[#This Row],[StimmenSitz]]&amp;")","K. SITZ ("&amp;Tabelle16[[#This Row],[StimmenSitz]]&amp;")")))</f>
        <v/>
      </c>
      <c r="AU13" s="105">
        <f ca="1">RAND()*Tab_Verfahren[[#This Row],[LosCh]]</f>
        <v>0</v>
      </c>
      <c r="AV13" t="str">
        <f>IF(Tab_Verfahren[[#This Row],[LosCh]]=0,"",IF(_xlfn.RANK.EQ(Tabelle16[[#This Row],[Zufall]],Tabelle16[Zufall])&lt;=Tab_Verfahren[[#Totals],[LosCh]],"SITZ ("&amp;TEXT(Tabelle16[[#This Row],[Zufall]],",0000")&amp;")","NIETE ("&amp;TEXT(Tabelle16[[#This Row],[Zufall]],",0000")&amp;")"))</f>
        <v/>
      </c>
      <c r="AW13" s="131" t="str">
        <f>IF(Pattverfahren="Stimmen",Tabelle16[[#This Row],[Stimmenzahl]],IF(Pattverfahren="Verlosung",Tabelle16[[#This Row],[Verlosung]],""))</f>
        <v/>
      </c>
      <c r="AX13" s="96"/>
      <c r="AY13" s="96"/>
      <c r="AZ13" s="96"/>
      <c r="BA13" s="96"/>
      <c r="BB13" s="96"/>
      <c r="BC13" s="96"/>
      <c r="BD13" s="96"/>
      <c r="BE13" s="96"/>
      <c r="BF13" s="96"/>
      <c r="BG13" s="96"/>
    </row>
    <row r="14" spans="1:73" x14ac:dyDescent="0.25">
      <c r="B14" s="104" t="s">
        <v>168</v>
      </c>
      <c r="C14" s="124">
        <v>1000</v>
      </c>
      <c r="D14" s="104">
        <v>2</v>
      </c>
      <c r="E14" s="96"/>
      <c r="F14" s="125" t="str">
        <f>IFERROR(IF(ISBLANK(Tab_Verschiebungen[[#This Row],[NameNeu]]),Tab_Wahlergebnis[[#This Row],[Name]],""),"")</f>
        <v>ÖDP</v>
      </c>
      <c r="G14" s="104"/>
      <c r="H14" s="127" t="str">
        <f>IF(ISBLANK(Tab_Verschiebungen[[#This Row],[NameNeu]]),Tab_Verschiebungen[[#This Row],[NameAlt]],Tab_Verschiebungen[[#This Row],[NameNeu]])</f>
        <v>ÖDP</v>
      </c>
      <c r="I14" s="104"/>
      <c r="J14" s="104"/>
      <c r="K14">
        <f>IFERROR(Tab_Wahlergebnis[[#This Row],[SitzeHO]],0)+Tab_Verschiebungen[[#This Row],[Plus]]-Tab_Verschiebungen[[#This Row],[Minus]]</f>
        <v>2</v>
      </c>
      <c r="M14" s="111">
        <f>Tab_Verschiebungen[[#This Row],[SitzeHO]]/Tab_Wahlergebnis[[#Totals],[SitzeHO]]*Aussschussgröße</f>
        <v>0.37142857142857144</v>
      </c>
      <c r="N14" s="110">
        <f>ROUNDDOWN(Tab_QKSicher[[#This Row],[Ideal]],0)</f>
        <v>0</v>
      </c>
      <c r="O14" s="110">
        <f>ROUNDUP(Tab_QKSicher[[#This Row],[Ideal]],0)</f>
        <v>1</v>
      </c>
      <c r="P14" s="112" t="str">
        <f>IF(Tab_QKSicher[[#This Row],[QK_Min]]=Tab_QKSicher[[#This Row],[QK_Max]],"genau "&amp;Tab_QKSicher[[#This Row],[QK_Min]],Tab_QKSicher[[#This Row],[QK_Min]]&amp;" oder "&amp;Tab_QKSicher[[#This Row],[QK_Max]])</f>
        <v>0 oder 1</v>
      </c>
      <c r="Q14" s="110" t="b">
        <f>Tab_Verschiebungen[[#This Row],[SitzeHO]]&gt;Tab_Wahlergebnis[[#Totals],[SitzeHO]]/(1+Aussschussgröße)</f>
        <v>0</v>
      </c>
      <c r="S14" s="123" t="str">
        <f>IF(COUNTIF(Tab_AG[AG],Tab_AG[[#This Row],[Name_Hilf]])&gt;0,Tab_AG[[#This Row],[AGName]],Tab_AG[[#This Row],[Name_Hilf]])</f>
        <v>ÖDP</v>
      </c>
      <c r="T14" s="104" t="s">
        <v>175</v>
      </c>
      <c r="U14" s="123" t="str">
        <f>IFERROR(Tab_Verschiebungen[[#This Row],[Name]],"AG"&amp;ROW()-ROW(Tab_AG[[#Headers],[Name_Hilf]])-ROWS(Tab_QKSicher[Ideal]))</f>
        <v>ÖDP</v>
      </c>
      <c r="V14" s="113">
        <f>IFERROR(Tab_Verschiebungen[[#This Row],[SitzeHO]],0)</f>
        <v>2</v>
      </c>
      <c r="W14" s="113" t="str">
        <f>IF(ROW()=ROW(Tab_AG[[#Headers],[AGN_Alt]])+1,"",X13)</f>
        <v>AG1[~Lin]</v>
      </c>
      <c r="X14" s="113" t="str">
        <f>IF(ISBLANK(Tab_AG[[#This Row],[AG]]),Tab_AG[[#This Row],[AGN_Alt]],IF(ISERROR(FIND(Tab_AG[[#This Row],[AG]],Tab_AG[[#This Row],[AGN_Alt]])),Tab_AG[[#This Row],[AGN_Alt]]&amp;Tab_AG[[#This Row],[AG]]&amp;"[~"&amp;MID(Tab_AG[[#This Row],[Name_Hilf]],1,3)&amp;"]",SUBSTITUTE(Tab_AG[[#This Row],[AGN_Alt]],Tab_AG[[#This Row],[AG]]&amp;"[~",Tab_AG[[#This Row],[AG]]&amp;"[~"&amp;MID(Tab_AG[[#This Row],[Name_Hilf]],1,3)&amp;"+")))</f>
        <v>AG1[~Lin]AG2[~ÖDP]</v>
      </c>
      <c r="Y14" s="113">
        <f>IFERROR(FIND(Tab_AG[[#This Row],[Name_Hilf]]&amp;"[~",Tab_AG[[#This Row],[AGN_Neu]]),0)</f>
        <v>0</v>
      </c>
      <c r="Z14" s="113">
        <f>IFERROR(FIND("]",Tab_AG[[#This Row],[AGN_Neu]],Tab_AG[[#This Row],[SuchBeginn]]),0)</f>
        <v>0</v>
      </c>
      <c r="AA14" s="113" t="str">
        <f>IFERROR(SUBSTITUTE(MID(Tab_AG[[#This Row],[AGN_Neu]],Tab_AG[[#This Row],[SuchBeginn]],Tab_AG[[#This Row],[SuchKlammer]]-Tab_AG[[#This Row],[SuchBeginn]]+1),"~",""),"")</f>
        <v/>
      </c>
      <c r="AB14" s="118">
        <f>IFERROR(IF(ISBLANK(Tab_AG[[#This Row],[AG]]),Tab_Verschiebungen[[#This Row],[SitzeHO]],0),SUMIFS(Tab_AG[SItzeImHO_Hilf],Tab_AG[AG],Tab_AG[[#This Row],[Name_Hilf]]))</f>
        <v>0</v>
      </c>
      <c r="AD14" s="112" t="str">
        <f>IF(Tab_Verfahren[[#This Row],[QK_Min]]=Tab_Verfahren[[#This Row],[QK_Max]],"genau "&amp;Tab_Verfahren[[#This Row],[QK_Min]],Tab_Verfahren[[#This Row],[QK_Min]]&amp;" oder "&amp;Tab_Verfahren[[#This Row],[QK_Max]])</f>
        <v>genau 0</v>
      </c>
      <c r="AE14" s="110">
        <f>ROUNDDOWN(Aussschussgröße*Tab_AG[[#This Row],[SitzeHO]]/Tab_Wahlergebnis[[#Totals],[SitzeHO]],0)</f>
        <v>0</v>
      </c>
      <c r="AF14" s="110">
        <f>ROUNDUP(Aussschussgröße*Tab_AG[[#This Row],[SitzeHO]]/Tab_Wahlergebnis[[#Totals],[SitzeHO]],0)</f>
        <v>0</v>
      </c>
      <c r="AG14" s="119">
        <f>ROUND(Tab_AG[[#This Row],[SitzeHO]]/(Tab_Verfahren[[#This Row],[QK_Min]]+1),4)</f>
        <v>0</v>
      </c>
      <c r="AH14" s="119">
        <f>ROUND(Aussschussgröße*Tab_AG[[#This Row],[SitzeHO]]/Tab_Wahlergebnis[[#Totals],[SitzeHO]]-Tab_Verfahren[[#This Row],[QK_Min]],4)</f>
        <v>0</v>
      </c>
      <c r="AI14" s="119">
        <f>ROUND(Tab_AG[[#This Row],[SitzeHO]]/(Tab_Verfahren[[#This Row],[QK_Min]]*2+1),4)</f>
        <v>0</v>
      </c>
      <c r="AJ14" s="120">
        <f>IF(Tab_Verfahren[[#This Row],[QK_Min]]=Tab_Verfahren[[#This Row],[QK_Max]],0,IF(Verfahren=VerfdH,Tab_Verfahren[[#This Row],[AZ_dH]],IF(Verfahren=VerfHN,Tab_Verfahren[[#This Row],[AZ_HN]],IF(Verfahren=VerfSLS,Tab_Verfahren[[#This Row],[AZ_SLS]],#N/A))))</f>
        <v>0</v>
      </c>
      <c r="AK14" s="120" t="str">
        <f>IF(Tab_Verfahren[[#This Row],[AZ]]&gt;0,Tab_Verfahren[[#This Row],[QK_Max]]&amp;". Sitz:   "&amp;IF(Verfahren=VerfdH,Tab_AG[[#This Row],[SitzeHO]]&amp;"/"&amp;Tab_Verfahren[[#This Row],[QK_Max]],"")&amp;IF(Verfahren=VerfSLS,Tab_AG[[#This Row],[SitzeHO]]&amp;"/"&amp;Tab_Verfahren[[#This Row],[QK_Max]]*2-1,"")&amp;IF(Verfahren=VerfHN,Tab_AG[[#This Row],[SitzeHO]]&amp;"/"&amp;Tab_AG[[#Totals],[SitzeHO]]&amp;"*"&amp;Aussschussgröße&amp;"-"&amp;Tab_Verfahren[[#This Row],[QK_Min]],"")&amp;" = "&amp;TEXT(Tab_Verfahren[[#This Row],[AZ]],"0,000"),"")</f>
        <v/>
      </c>
      <c r="AL14" s="121">
        <f>_xlfn.RANK.EQ(Tab_Verfahren[[#This Row],[AZ]],Tab_Verfahren[AZ],0)</f>
        <v>10</v>
      </c>
      <c r="AM14" s="119" t="str">
        <f>IF(COUNTIFS(Tab_Verfahren[Rang],"&lt;="&amp;Tab_Verfahren[[#This Row],[Rang]])&lt;=Aussschussgröße-SUM(Tab_Verfahren[QK_Min]),"SITZ",IF(COUNTIFS(Tab_Verfahren[Rang],"&lt;"&amp;Tab_Verfahren[[#This Row],[Rang]])&lt;Aussschussgröße-SUM(Tab_Verfahren[QK_Min]),"PATT",""))</f>
        <v/>
      </c>
      <c r="AN14" s="118">
        <f>Tab_Verfahren[[#This Row],[QK_Min]]+IF(Tab_Verfahren[[#This Row],[Status]]="SITZ",1,0)</f>
        <v>0</v>
      </c>
      <c r="AO14" s="122">
        <f>IF(Tab_Verfahren[[#This Row],[Status]]&lt;&gt;"PATT",0,(Aussschussgröße-SUM(Tab_Verfahren[Sitze]))/COUNTIFS(Tab_Verfahren[Status],"PATT"))</f>
        <v>0</v>
      </c>
      <c r="AP14" s="96"/>
      <c r="AQ14" t="b">
        <f>OR(Tab_Verfahren[[#This Row],[LosCh]]=0,IFERROR(AND(ISNUMBER(Tab_Wahlergebnis[[#This Row],[Stimmen]]),Tab_Verschiebungen[[#This Row],[Plus]]+Tab_Verschiebungen[[#This Row],[Minus]]=0),FALSE))</f>
        <v>1</v>
      </c>
      <c r="AR14">
        <f>IF(AND(AND(Tabelle16[StimmenZul]),Tab_Verfahren[[#This Row],[LosCh]]&gt;0),Tab_Wahlergebnis[[#This Row],[Stimmen]],0)</f>
        <v>0</v>
      </c>
      <c r="AS14" t="b">
        <f>RANK(Tabelle16[[#This Row],[StimmenSitz]],Tabelle16[StimmenSitz],0)&lt;=Tab_Verfahren[[#Totals],[LosCh]]</f>
        <v>1</v>
      </c>
      <c r="AT14" s="97" t="str">
        <f>IF(Tab_Verfahren[[#This Row],[LosCh]]=0,"",IF(NOT(AND(Tabelle16[StimmenZul])),"UNZULÄSSIG",IF(Tabelle16[[#This Row],[StRang]],"SITZ ("&amp;Tabelle16[[#This Row],[StimmenSitz]]&amp;")","K. SITZ ("&amp;Tabelle16[[#This Row],[StimmenSitz]]&amp;")")))</f>
        <v/>
      </c>
      <c r="AU14" s="105">
        <f ca="1">RAND()*Tab_Verfahren[[#This Row],[LosCh]]</f>
        <v>0</v>
      </c>
      <c r="AV14" t="str">
        <f>IF(Tab_Verfahren[[#This Row],[LosCh]]=0,"",IF(_xlfn.RANK.EQ(Tabelle16[[#This Row],[Zufall]],Tabelle16[Zufall])&lt;=Tab_Verfahren[[#Totals],[LosCh]],"SITZ ("&amp;TEXT(Tabelle16[[#This Row],[Zufall]],",0000")&amp;")","NIETE ("&amp;TEXT(Tabelle16[[#This Row],[Zufall]],",0000")&amp;")"))</f>
        <v/>
      </c>
      <c r="AW14" s="131" t="str">
        <f>IF(Pattverfahren="Stimmen",Tabelle16[[#This Row],[Stimmenzahl]],IF(Pattverfahren="Verlosung",Tabelle16[[#This Row],[Verlosung]],""))</f>
        <v/>
      </c>
      <c r="AX14" s="96"/>
      <c r="AY14" s="96"/>
      <c r="AZ14" s="96"/>
      <c r="BA14" s="96"/>
      <c r="BB14" s="96"/>
      <c r="BC14" s="96"/>
      <c r="BD14" s="96"/>
      <c r="BE14" s="96"/>
      <c r="BF14" s="96"/>
      <c r="BG14" s="96"/>
    </row>
    <row r="15" spans="1:73" x14ac:dyDescent="0.25">
      <c r="B15" s="104" t="s">
        <v>169</v>
      </c>
      <c r="C15" s="124">
        <v>348</v>
      </c>
      <c r="D15" s="104">
        <v>1</v>
      </c>
      <c r="E15" s="96"/>
      <c r="F15" s="125" t="str">
        <f>IFERROR(IF(ISBLANK(Tab_Verschiebungen[[#This Row],[NameNeu]]),Tab_Wahlergebnis[[#This Row],[Name]],""),"")</f>
        <v>Bayernpartei</v>
      </c>
      <c r="G15" s="104"/>
      <c r="H15" s="127" t="str">
        <f>IF(ISBLANK(Tab_Verschiebungen[[#This Row],[NameNeu]]),Tab_Verschiebungen[[#This Row],[NameAlt]],Tab_Verschiebungen[[#This Row],[NameNeu]])</f>
        <v>Bayernpartei</v>
      </c>
      <c r="I15" s="104"/>
      <c r="J15" s="104"/>
      <c r="K15">
        <f>IFERROR(Tab_Wahlergebnis[[#This Row],[SitzeHO]],0)+Tab_Verschiebungen[[#This Row],[Plus]]-Tab_Verschiebungen[[#This Row],[Minus]]</f>
        <v>1</v>
      </c>
      <c r="M15" s="111">
        <f>Tab_Verschiebungen[[#This Row],[SitzeHO]]/Tab_Wahlergebnis[[#Totals],[SitzeHO]]*Aussschussgröße</f>
        <v>0.18571428571428572</v>
      </c>
      <c r="N15" s="110">
        <f>ROUNDDOWN(Tab_QKSicher[[#This Row],[Ideal]],0)</f>
        <v>0</v>
      </c>
      <c r="O15" s="110">
        <f>ROUNDUP(Tab_QKSicher[[#This Row],[Ideal]],0)</f>
        <v>1</v>
      </c>
      <c r="P15" s="112" t="str">
        <f>IF(Tab_QKSicher[[#This Row],[QK_Min]]=Tab_QKSicher[[#This Row],[QK_Max]],"genau "&amp;Tab_QKSicher[[#This Row],[QK_Min]],Tab_QKSicher[[#This Row],[QK_Min]]&amp;" oder "&amp;Tab_QKSicher[[#This Row],[QK_Max]])</f>
        <v>0 oder 1</v>
      </c>
      <c r="Q15" s="110" t="b">
        <f>Tab_Verschiebungen[[#This Row],[SitzeHO]]&gt;Tab_Wahlergebnis[[#Totals],[SitzeHO]]/(1+Aussschussgröße)</f>
        <v>0</v>
      </c>
      <c r="S15" s="123" t="str">
        <f>IF(COUNTIF(Tab_AG[AG],Tab_AG[[#This Row],[Name_Hilf]])&gt;0,Tab_AG[[#This Row],[AGName]],Tab_AG[[#This Row],[Name_Hilf]])</f>
        <v>Bayernpartei</v>
      </c>
      <c r="T15" s="104" t="s">
        <v>177</v>
      </c>
      <c r="U15" s="123" t="str">
        <f>IFERROR(Tab_Verschiebungen[[#This Row],[Name]],"AG"&amp;ROW()-ROW(Tab_AG[[#Headers],[Name_Hilf]])-ROWS(Tab_QKSicher[Ideal]))</f>
        <v>Bayernpartei</v>
      </c>
      <c r="V15" s="113">
        <f>IFERROR(Tab_Verschiebungen[[#This Row],[SitzeHO]],0)</f>
        <v>1</v>
      </c>
      <c r="W15" s="113" t="str">
        <f>IF(ROW()=ROW(Tab_AG[[#Headers],[AGN_Alt]])+1,"",X14)</f>
        <v>AG1[~Lin]AG2[~ÖDP]</v>
      </c>
      <c r="X15" s="113" t="str">
        <f>IF(ISBLANK(Tab_AG[[#This Row],[AG]]),Tab_AG[[#This Row],[AGN_Alt]],IF(ISERROR(FIND(Tab_AG[[#This Row],[AG]],Tab_AG[[#This Row],[AGN_Alt]])),Tab_AG[[#This Row],[AGN_Alt]]&amp;Tab_AG[[#This Row],[AG]]&amp;"[~"&amp;MID(Tab_AG[[#This Row],[Name_Hilf]],1,3)&amp;"]",SUBSTITUTE(Tab_AG[[#This Row],[AGN_Alt]],Tab_AG[[#This Row],[AG]]&amp;"[~",Tab_AG[[#This Row],[AG]]&amp;"[~"&amp;MID(Tab_AG[[#This Row],[Name_Hilf]],1,3)&amp;"+")))</f>
        <v>AG1[~Lin]AG2[~ÖDP]AG3[~Bay]</v>
      </c>
      <c r="Y15" s="113">
        <f>IFERROR(FIND(Tab_AG[[#This Row],[Name_Hilf]]&amp;"[~",Tab_AG[[#This Row],[AGN_Neu]]),0)</f>
        <v>0</v>
      </c>
      <c r="Z15" s="113">
        <f>IFERROR(FIND("]",Tab_AG[[#This Row],[AGN_Neu]],Tab_AG[[#This Row],[SuchBeginn]]),0)</f>
        <v>0</v>
      </c>
      <c r="AA15" s="113" t="str">
        <f>IFERROR(SUBSTITUTE(MID(Tab_AG[[#This Row],[AGN_Neu]],Tab_AG[[#This Row],[SuchBeginn]],Tab_AG[[#This Row],[SuchKlammer]]-Tab_AG[[#This Row],[SuchBeginn]]+1),"~",""),"")</f>
        <v/>
      </c>
      <c r="AB15" s="118">
        <f>IFERROR(IF(ISBLANK(Tab_AG[[#This Row],[AG]]),Tab_Verschiebungen[[#This Row],[SitzeHO]],0),SUMIFS(Tab_AG[SItzeImHO_Hilf],Tab_AG[AG],Tab_AG[[#This Row],[Name_Hilf]]))</f>
        <v>0</v>
      </c>
      <c r="AD15" s="112" t="str">
        <f>IF(Tab_Verfahren[[#This Row],[QK_Min]]=Tab_Verfahren[[#This Row],[QK_Max]],"genau "&amp;Tab_Verfahren[[#This Row],[QK_Min]],Tab_Verfahren[[#This Row],[QK_Min]]&amp;" oder "&amp;Tab_Verfahren[[#This Row],[QK_Max]])</f>
        <v>genau 0</v>
      </c>
      <c r="AE15" s="110">
        <f>ROUNDDOWN(Aussschussgröße*Tab_AG[[#This Row],[SitzeHO]]/Tab_Wahlergebnis[[#Totals],[SitzeHO]],0)</f>
        <v>0</v>
      </c>
      <c r="AF15" s="110">
        <f>ROUNDUP(Aussschussgröße*Tab_AG[[#This Row],[SitzeHO]]/Tab_Wahlergebnis[[#Totals],[SitzeHO]],0)</f>
        <v>0</v>
      </c>
      <c r="AG15" s="119">
        <f>ROUND(Tab_AG[[#This Row],[SitzeHO]]/(Tab_Verfahren[[#This Row],[QK_Min]]+1),4)</f>
        <v>0</v>
      </c>
      <c r="AH15" s="119">
        <f>ROUND(Aussschussgröße*Tab_AG[[#This Row],[SitzeHO]]/Tab_Wahlergebnis[[#Totals],[SitzeHO]]-Tab_Verfahren[[#This Row],[QK_Min]],4)</f>
        <v>0</v>
      </c>
      <c r="AI15" s="119">
        <f>ROUND(Tab_AG[[#This Row],[SitzeHO]]/(Tab_Verfahren[[#This Row],[QK_Min]]*2+1),4)</f>
        <v>0</v>
      </c>
      <c r="AJ15" s="120">
        <f>IF(Tab_Verfahren[[#This Row],[QK_Min]]=Tab_Verfahren[[#This Row],[QK_Max]],0,IF(Verfahren=VerfdH,Tab_Verfahren[[#This Row],[AZ_dH]],IF(Verfahren=VerfHN,Tab_Verfahren[[#This Row],[AZ_HN]],IF(Verfahren=VerfSLS,Tab_Verfahren[[#This Row],[AZ_SLS]],#N/A))))</f>
        <v>0</v>
      </c>
      <c r="AK15" s="120" t="str">
        <f>IF(Tab_Verfahren[[#This Row],[AZ]]&gt;0,Tab_Verfahren[[#This Row],[QK_Max]]&amp;". Sitz:   "&amp;IF(Verfahren=VerfdH,Tab_AG[[#This Row],[SitzeHO]]&amp;"/"&amp;Tab_Verfahren[[#This Row],[QK_Max]],"")&amp;IF(Verfahren=VerfSLS,Tab_AG[[#This Row],[SitzeHO]]&amp;"/"&amp;Tab_Verfahren[[#This Row],[QK_Max]]*2-1,"")&amp;IF(Verfahren=VerfHN,Tab_AG[[#This Row],[SitzeHO]]&amp;"/"&amp;Tab_AG[[#Totals],[SitzeHO]]&amp;"*"&amp;Aussschussgröße&amp;"-"&amp;Tab_Verfahren[[#This Row],[QK_Min]],"")&amp;" = "&amp;TEXT(Tab_Verfahren[[#This Row],[AZ]],"0,000"),"")</f>
        <v/>
      </c>
      <c r="AL15" s="121">
        <f>_xlfn.RANK.EQ(Tab_Verfahren[[#This Row],[AZ]],Tab_Verfahren[AZ],0)</f>
        <v>10</v>
      </c>
      <c r="AM15" s="119" t="str">
        <f>IF(COUNTIFS(Tab_Verfahren[Rang],"&lt;="&amp;Tab_Verfahren[[#This Row],[Rang]])&lt;=Aussschussgröße-SUM(Tab_Verfahren[QK_Min]),"SITZ",IF(COUNTIFS(Tab_Verfahren[Rang],"&lt;"&amp;Tab_Verfahren[[#This Row],[Rang]])&lt;Aussschussgröße-SUM(Tab_Verfahren[QK_Min]),"PATT",""))</f>
        <v/>
      </c>
      <c r="AN15" s="118">
        <f>Tab_Verfahren[[#This Row],[QK_Min]]+IF(Tab_Verfahren[[#This Row],[Status]]="SITZ",1,0)</f>
        <v>0</v>
      </c>
      <c r="AO15" s="122">
        <f>IF(Tab_Verfahren[[#This Row],[Status]]&lt;&gt;"PATT",0,(Aussschussgröße-SUM(Tab_Verfahren[Sitze]))/COUNTIFS(Tab_Verfahren[Status],"PATT"))</f>
        <v>0</v>
      </c>
      <c r="AP15" s="96"/>
      <c r="AQ15" t="b">
        <f>OR(Tab_Verfahren[[#This Row],[LosCh]]=0,IFERROR(AND(ISNUMBER(Tab_Wahlergebnis[[#This Row],[Stimmen]]),Tab_Verschiebungen[[#This Row],[Plus]]+Tab_Verschiebungen[[#This Row],[Minus]]=0),FALSE))</f>
        <v>1</v>
      </c>
      <c r="AR15">
        <f>IF(AND(AND(Tabelle16[StimmenZul]),Tab_Verfahren[[#This Row],[LosCh]]&gt;0),Tab_Wahlergebnis[[#This Row],[Stimmen]],0)</f>
        <v>0</v>
      </c>
      <c r="AS15" t="b">
        <f>RANK(Tabelle16[[#This Row],[StimmenSitz]],Tabelle16[StimmenSitz],0)&lt;=Tab_Verfahren[[#Totals],[LosCh]]</f>
        <v>1</v>
      </c>
      <c r="AT15" s="97" t="str">
        <f>IF(Tab_Verfahren[[#This Row],[LosCh]]=0,"",IF(NOT(AND(Tabelle16[StimmenZul])),"UNZULÄSSIG",IF(Tabelle16[[#This Row],[StRang]],"SITZ ("&amp;Tabelle16[[#This Row],[StimmenSitz]]&amp;")","K. SITZ ("&amp;Tabelle16[[#This Row],[StimmenSitz]]&amp;")")))</f>
        <v/>
      </c>
      <c r="AU15" s="105">
        <f ca="1">RAND()*Tab_Verfahren[[#This Row],[LosCh]]</f>
        <v>0</v>
      </c>
      <c r="AV15" t="str">
        <f>IF(Tab_Verfahren[[#This Row],[LosCh]]=0,"",IF(_xlfn.RANK.EQ(Tabelle16[[#This Row],[Zufall]],Tabelle16[Zufall])&lt;=Tab_Verfahren[[#Totals],[LosCh]],"SITZ ("&amp;TEXT(Tabelle16[[#This Row],[Zufall]],",0000")&amp;")","NIETE ("&amp;TEXT(Tabelle16[[#This Row],[Zufall]],",0000")&amp;")"))</f>
        <v/>
      </c>
      <c r="AW15" s="131" t="str">
        <f>IF(Pattverfahren="Stimmen",Tabelle16[[#This Row],[Stimmenzahl]],IF(Pattverfahren="Verlosung",Tabelle16[[#This Row],[Verlosung]],""))</f>
        <v/>
      </c>
      <c r="AX15" s="96"/>
      <c r="AY15" s="96"/>
      <c r="AZ15" s="96"/>
      <c r="BA15" s="96"/>
      <c r="BB15" s="96"/>
      <c r="BC15" s="96"/>
      <c r="BD15" s="96"/>
      <c r="BE15" s="96"/>
      <c r="BF15" s="96"/>
      <c r="BG15" s="96"/>
    </row>
    <row r="16" spans="1:73" x14ac:dyDescent="0.25">
      <c r="B16" s="104" t="s">
        <v>171</v>
      </c>
      <c r="C16" s="124">
        <v>211</v>
      </c>
      <c r="D16" s="104">
        <v>1</v>
      </c>
      <c r="E16" s="96"/>
      <c r="F16" s="125" t="str">
        <f>IFERROR(IF(ISBLANK(Tab_Verschiebungen[[#This Row],[NameNeu]]),Tab_Wahlergebnis[[#This Row],[Name]],""),"")</f>
        <v>Tierschutzpartei</v>
      </c>
      <c r="G16" s="104"/>
      <c r="H16" s="127" t="str">
        <f>IF(ISBLANK(Tab_Verschiebungen[[#This Row],[NameNeu]]),Tab_Verschiebungen[[#This Row],[NameAlt]],Tab_Verschiebungen[[#This Row],[NameNeu]])</f>
        <v>Tierschutzpartei</v>
      </c>
      <c r="I16" s="104"/>
      <c r="J16" s="104"/>
      <c r="K16">
        <f>IFERROR(Tab_Wahlergebnis[[#This Row],[SitzeHO]],0)+Tab_Verschiebungen[[#This Row],[Plus]]-Tab_Verschiebungen[[#This Row],[Minus]]</f>
        <v>1</v>
      </c>
      <c r="M16" s="111">
        <f>Tab_Verschiebungen[[#This Row],[SitzeHO]]/Tab_Wahlergebnis[[#Totals],[SitzeHO]]*Aussschussgröße</f>
        <v>0.18571428571428572</v>
      </c>
      <c r="N16" s="110">
        <f>ROUNDDOWN(Tab_QKSicher[[#This Row],[Ideal]],0)</f>
        <v>0</v>
      </c>
      <c r="O16" s="110">
        <f>ROUNDUP(Tab_QKSicher[[#This Row],[Ideal]],0)</f>
        <v>1</v>
      </c>
      <c r="P16" s="112" t="str">
        <f>IF(Tab_QKSicher[[#This Row],[QK_Min]]=Tab_QKSicher[[#This Row],[QK_Max]],"genau "&amp;Tab_QKSicher[[#This Row],[QK_Min]],Tab_QKSicher[[#This Row],[QK_Min]]&amp;" oder "&amp;Tab_QKSicher[[#This Row],[QK_Max]])</f>
        <v>0 oder 1</v>
      </c>
      <c r="Q16" s="110" t="b">
        <f>Tab_Verschiebungen[[#This Row],[SitzeHO]]&gt;Tab_Wahlergebnis[[#Totals],[SitzeHO]]/(1+Aussschussgröße)</f>
        <v>0</v>
      </c>
      <c r="S16" s="123" t="str">
        <f>IF(COUNTIF(Tab_AG[AG],Tab_AG[[#This Row],[Name_Hilf]])&gt;0,Tab_AG[[#This Row],[AGName]],Tab_AG[[#This Row],[Name_Hilf]])</f>
        <v>Tierschutzpartei</v>
      </c>
      <c r="T16" s="104" t="s">
        <v>175</v>
      </c>
      <c r="U16" s="123" t="str">
        <f>IFERROR(Tab_Verschiebungen[[#This Row],[Name]],"AG"&amp;ROW()-ROW(Tab_AG[[#Headers],[Name_Hilf]])-ROWS(Tab_QKSicher[Ideal]))</f>
        <v>Tierschutzpartei</v>
      </c>
      <c r="V16" s="113">
        <f>IFERROR(Tab_Verschiebungen[[#This Row],[SitzeHO]],0)</f>
        <v>1</v>
      </c>
      <c r="W16" s="113" t="str">
        <f>IF(ROW()=ROW(Tab_AG[[#Headers],[AGN_Alt]])+1,"",X15)</f>
        <v>AG1[~Lin]AG2[~ÖDP]AG3[~Bay]</v>
      </c>
      <c r="X16" s="113" t="str">
        <f>IF(ISBLANK(Tab_AG[[#This Row],[AG]]),Tab_AG[[#This Row],[AGN_Alt]],IF(ISERROR(FIND(Tab_AG[[#This Row],[AG]],Tab_AG[[#This Row],[AGN_Alt]])),Tab_AG[[#This Row],[AGN_Alt]]&amp;Tab_AG[[#This Row],[AG]]&amp;"[~"&amp;MID(Tab_AG[[#This Row],[Name_Hilf]],1,3)&amp;"]",SUBSTITUTE(Tab_AG[[#This Row],[AGN_Alt]],Tab_AG[[#This Row],[AG]]&amp;"[~",Tab_AG[[#This Row],[AG]]&amp;"[~"&amp;MID(Tab_AG[[#This Row],[Name_Hilf]],1,3)&amp;"+")))</f>
        <v>AG1[~Lin]AG2[~Tie+ÖDP]AG3[~Bay]</v>
      </c>
      <c r="Y16" s="113">
        <f>IFERROR(FIND(Tab_AG[[#This Row],[Name_Hilf]]&amp;"[~",Tab_AG[[#This Row],[AGN_Neu]]),0)</f>
        <v>0</v>
      </c>
      <c r="Z16" s="113">
        <f>IFERROR(FIND("]",Tab_AG[[#This Row],[AGN_Neu]],Tab_AG[[#This Row],[SuchBeginn]]),0)</f>
        <v>0</v>
      </c>
      <c r="AA16" s="113" t="str">
        <f>IFERROR(SUBSTITUTE(MID(Tab_AG[[#This Row],[AGN_Neu]],Tab_AG[[#This Row],[SuchBeginn]],Tab_AG[[#This Row],[SuchKlammer]]-Tab_AG[[#This Row],[SuchBeginn]]+1),"~",""),"")</f>
        <v/>
      </c>
      <c r="AB16" s="118">
        <f>IFERROR(IF(ISBLANK(Tab_AG[[#This Row],[AG]]),Tab_Verschiebungen[[#This Row],[SitzeHO]],0),SUMIFS(Tab_AG[SItzeImHO_Hilf],Tab_AG[AG],Tab_AG[[#This Row],[Name_Hilf]]))</f>
        <v>0</v>
      </c>
      <c r="AD16" s="112" t="str">
        <f>IF(Tab_Verfahren[[#This Row],[QK_Min]]=Tab_Verfahren[[#This Row],[QK_Max]],"genau "&amp;Tab_Verfahren[[#This Row],[QK_Min]],Tab_Verfahren[[#This Row],[QK_Min]]&amp;" oder "&amp;Tab_Verfahren[[#This Row],[QK_Max]])</f>
        <v>genau 0</v>
      </c>
      <c r="AE16" s="110">
        <f>ROUNDDOWN(Aussschussgröße*Tab_AG[[#This Row],[SitzeHO]]/Tab_Wahlergebnis[[#Totals],[SitzeHO]],0)</f>
        <v>0</v>
      </c>
      <c r="AF16" s="110">
        <f>ROUNDUP(Aussschussgröße*Tab_AG[[#This Row],[SitzeHO]]/Tab_Wahlergebnis[[#Totals],[SitzeHO]],0)</f>
        <v>0</v>
      </c>
      <c r="AG16" s="119">
        <f>ROUND(Tab_AG[[#This Row],[SitzeHO]]/(Tab_Verfahren[[#This Row],[QK_Min]]+1),4)</f>
        <v>0</v>
      </c>
      <c r="AH16" s="119">
        <f>ROUND(Aussschussgröße*Tab_AG[[#This Row],[SitzeHO]]/Tab_Wahlergebnis[[#Totals],[SitzeHO]]-Tab_Verfahren[[#This Row],[QK_Min]],4)</f>
        <v>0</v>
      </c>
      <c r="AI16" s="119">
        <f>ROUND(Tab_AG[[#This Row],[SitzeHO]]/(Tab_Verfahren[[#This Row],[QK_Min]]*2+1),4)</f>
        <v>0</v>
      </c>
      <c r="AJ16" s="120">
        <f>IF(Tab_Verfahren[[#This Row],[QK_Min]]=Tab_Verfahren[[#This Row],[QK_Max]],0,IF(Verfahren=VerfdH,Tab_Verfahren[[#This Row],[AZ_dH]],IF(Verfahren=VerfHN,Tab_Verfahren[[#This Row],[AZ_HN]],IF(Verfahren=VerfSLS,Tab_Verfahren[[#This Row],[AZ_SLS]],#N/A))))</f>
        <v>0</v>
      </c>
      <c r="AK16" s="120" t="str">
        <f>IF(Tab_Verfahren[[#This Row],[AZ]]&gt;0,Tab_Verfahren[[#This Row],[QK_Max]]&amp;". Sitz:   "&amp;IF(Verfahren=VerfdH,Tab_AG[[#This Row],[SitzeHO]]&amp;"/"&amp;Tab_Verfahren[[#This Row],[QK_Max]],"")&amp;IF(Verfahren=VerfSLS,Tab_AG[[#This Row],[SitzeHO]]&amp;"/"&amp;Tab_Verfahren[[#This Row],[QK_Max]]*2-1,"")&amp;IF(Verfahren=VerfHN,Tab_AG[[#This Row],[SitzeHO]]&amp;"/"&amp;Tab_AG[[#Totals],[SitzeHO]]&amp;"*"&amp;Aussschussgröße&amp;"-"&amp;Tab_Verfahren[[#This Row],[QK_Min]],"")&amp;" = "&amp;TEXT(Tab_Verfahren[[#This Row],[AZ]],"0,000"),"")</f>
        <v/>
      </c>
      <c r="AL16" s="121">
        <f>_xlfn.RANK.EQ(Tab_Verfahren[[#This Row],[AZ]],Tab_Verfahren[AZ],0)</f>
        <v>10</v>
      </c>
      <c r="AM16" s="119" t="str">
        <f>IF(COUNTIFS(Tab_Verfahren[Rang],"&lt;="&amp;Tab_Verfahren[[#This Row],[Rang]])&lt;=Aussschussgröße-SUM(Tab_Verfahren[QK_Min]),"SITZ",IF(COUNTIFS(Tab_Verfahren[Rang],"&lt;"&amp;Tab_Verfahren[[#This Row],[Rang]])&lt;Aussschussgröße-SUM(Tab_Verfahren[QK_Min]),"PATT",""))</f>
        <v/>
      </c>
      <c r="AN16" s="118">
        <f>Tab_Verfahren[[#This Row],[QK_Min]]+IF(Tab_Verfahren[[#This Row],[Status]]="SITZ",1,0)</f>
        <v>0</v>
      </c>
      <c r="AO16" s="122">
        <f>IF(Tab_Verfahren[[#This Row],[Status]]&lt;&gt;"PATT",0,(Aussschussgröße-SUM(Tab_Verfahren[Sitze]))/COUNTIFS(Tab_Verfahren[Status],"PATT"))</f>
        <v>0</v>
      </c>
      <c r="AP16" s="96"/>
      <c r="AQ16" t="b">
        <f>OR(Tab_Verfahren[[#This Row],[LosCh]]=0,IFERROR(AND(ISNUMBER(Tab_Wahlergebnis[[#This Row],[Stimmen]]),Tab_Verschiebungen[[#This Row],[Plus]]+Tab_Verschiebungen[[#This Row],[Minus]]=0),FALSE))</f>
        <v>1</v>
      </c>
      <c r="AR16">
        <f>IF(AND(AND(Tabelle16[StimmenZul]),Tab_Verfahren[[#This Row],[LosCh]]&gt;0),Tab_Wahlergebnis[[#This Row],[Stimmen]],0)</f>
        <v>0</v>
      </c>
      <c r="AS16" t="b">
        <f>RANK(Tabelle16[[#This Row],[StimmenSitz]],Tabelle16[StimmenSitz],0)&lt;=Tab_Verfahren[[#Totals],[LosCh]]</f>
        <v>1</v>
      </c>
      <c r="AT16" s="97" t="str">
        <f>IF(Tab_Verfahren[[#This Row],[LosCh]]=0,"",IF(NOT(AND(Tabelle16[StimmenZul])),"UNZULÄSSIG",IF(Tabelle16[[#This Row],[StRang]],"SITZ ("&amp;Tabelle16[[#This Row],[StimmenSitz]]&amp;")","K. SITZ ("&amp;Tabelle16[[#This Row],[StimmenSitz]]&amp;")")))</f>
        <v/>
      </c>
      <c r="AU16" s="105">
        <f ca="1">RAND()*Tab_Verfahren[[#This Row],[LosCh]]</f>
        <v>0</v>
      </c>
      <c r="AV16" t="str">
        <f>IF(Tab_Verfahren[[#This Row],[LosCh]]=0,"",IF(_xlfn.RANK.EQ(Tabelle16[[#This Row],[Zufall]],Tabelle16[Zufall])&lt;=Tab_Verfahren[[#Totals],[LosCh]],"SITZ ("&amp;TEXT(Tabelle16[[#This Row],[Zufall]],",0000")&amp;")","NIETE ("&amp;TEXT(Tabelle16[[#This Row],[Zufall]],",0000")&amp;")"))</f>
        <v/>
      </c>
      <c r="AW16" s="131" t="str">
        <f>IF(Pattverfahren="Stimmen",Tabelle16[[#This Row],[Stimmenzahl]],IF(Pattverfahren="Verlosung",Tabelle16[[#This Row],[Verlosung]],""))</f>
        <v/>
      </c>
      <c r="AX16" s="96"/>
      <c r="AY16" s="96"/>
      <c r="AZ16" s="96"/>
      <c r="BA16" s="96"/>
      <c r="BB16" s="96"/>
      <c r="BC16" s="96"/>
      <c r="BD16" s="96"/>
      <c r="BE16" s="96"/>
      <c r="BF16" s="96"/>
      <c r="BG16" s="96"/>
    </row>
    <row r="17" spans="2:59" x14ac:dyDescent="0.25">
      <c r="B17" s="104" t="s">
        <v>170</v>
      </c>
      <c r="C17" s="124">
        <v>182</v>
      </c>
      <c r="D17" s="104">
        <v>0</v>
      </c>
      <c r="E17" s="96"/>
      <c r="F17" s="125" t="str">
        <f>IFERROR(IF(ISBLANK(Tab_Verschiebungen[[#This Row],[NameNeu]]),Tab_Wahlergebnis[[#This Row],[Name]],""),"")</f>
        <v>Franken</v>
      </c>
      <c r="G17" s="104"/>
      <c r="H17" s="127" t="str">
        <f>IF(ISBLANK(Tab_Verschiebungen[[#This Row],[NameNeu]]),Tab_Verschiebungen[[#This Row],[NameAlt]],Tab_Verschiebungen[[#This Row],[NameNeu]])</f>
        <v>Franken</v>
      </c>
      <c r="I17" s="104"/>
      <c r="J17" s="104"/>
      <c r="K17">
        <f>IFERROR(Tab_Wahlergebnis[[#This Row],[SitzeHO]],0)+Tab_Verschiebungen[[#This Row],[Plus]]-Tab_Verschiebungen[[#This Row],[Minus]]</f>
        <v>0</v>
      </c>
      <c r="M17" s="111">
        <f>Tab_Verschiebungen[[#This Row],[SitzeHO]]/Tab_Wahlergebnis[[#Totals],[SitzeHO]]*Aussschussgröße</f>
        <v>0</v>
      </c>
      <c r="N17" s="110">
        <f>ROUNDDOWN(Tab_QKSicher[[#This Row],[Ideal]],0)</f>
        <v>0</v>
      </c>
      <c r="O17" s="110">
        <f>ROUNDUP(Tab_QKSicher[[#This Row],[Ideal]],0)</f>
        <v>0</v>
      </c>
      <c r="P17" s="112" t="str">
        <f>IF(Tab_QKSicher[[#This Row],[QK_Min]]=Tab_QKSicher[[#This Row],[QK_Max]],"genau "&amp;Tab_QKSicher[[#This Row],[QK_Min]],Tab_QKSicher[[#This Row],[QK_Min]]&amp;" oder "&amp;Tab_QKSicher[[#This Row],[QK_Max]])</f>
        <v>genau 0</v>
      </c>
      <c r="Q17" s="110" t="b">
        <f>Tab_Verschiebungen[[#This Row],[SitzeHO]]&gt;Tab_Wahlergebnis[[#Totals],[SitzeHO]]/(1+Aussschussgröße)</f>
        <v>0</v>
      </c>
      <c r="S17" s="123" t="str">
        <f>IF(COUNTIF(Tab_AG[AG],Tab_AG[[#This Row],[Name_Hilf]])&gt;0,Tab_AG[[#This Row],[AGName]],Tab_AG[[#This Row],[Name_Hilf]])</f>
        <v>Franken</v>
      </c>
      <c r="T17" s="104" t="s">
        <v>178</v>
      </c>
      <c r="U17" s="123" t="str">
        <f>IFERROR(Tab_Verschiebungen[[#This Row],[Name]],"AG"&amp;ROW()-ROW(Tab_AG[[#Headers],[Name_Hilf]])-ROWS(Tab_QKSicher[Ideal]))</f>
        <v>Franken</v>
      </c>
      <c r="V17" s="113">
        <f>IFERROR(Tab_Verschiebungen[[#This Row],[SitzeHO]],0)</f>
        <v>0</v>
      </c>
      <c r="W17" s="113" t="str">
        <f>IF(ROW()=ROW(Tab_AG[[#Headers],[AGN_Alt]])+1,"",X16)</f>
        <v>AG1[~Lin]AG2[~Tie+ÖDP]AG3[~Bay]</v>
      </c>
      <c r="X17" s="113" t="str">
        <f>IF(ISBLANK(Tab_AG[[#This Row],[AG]]),Tab_AG[[#This Row],[AGN_Alt]],IF(ISERROR(FIND(Tab_AG[[#This Row],[AG]],Tab_AG[[#This Row],[AGN_Alt]])),Tab_AG[[#This Row],[AGN_Alt]]&amp;Tab_AG[[#This Row],[AG]]&amp;"[~"&amp;MID(Tab_AG[[#This Row],[Name_Hilf]],1,3)&amp;"]",SUBSTITUTE(Tab_AG[[#This Row],[AGN_Alt]],Tab_AG[[#This Row],[AG]]&amp;"[~",Tab_AG[[#This Row],[AG]]&amp;"[~"&amp;MID(Tab_AG[[#This Row],[Name_Hilf]],1,3)&amp;"+")))</f>
        <v>AG1[~Lin]AG2[~Tie+ÖDP]AG3[~Bay]AG4[~Fra]</v>
      </c>
      <c r="Y17" s="113">
        <f>IFERROR(FIND(Tab_AG[[#This Row],[Name_Hilf]]&amp;"[~",Tab_AG[[#This Row],[AGN_Neu]]),0)</f>
        <v>0</v>
      </c>
      <c r="Z17" s="113">
        <f>IFERROR(FIND("]",Tab_AG[[#This Row],[AGN_Neu]],Tab_AG[[#This Row],[SuchBeginn]]),0)</f>
        <v>0</v>
      </c>
      <c r="AA17" s="113" t="str">
        <f>IFERROR(SUBSTITUTE(MID(Tab_AG[[#This Row],[AGN_Neu]],Tab_AG[[#This Row],[SuchBeginn]],Tab_AG[[#This Row],[SuchKlammer]]-Tab_AG[[#This Row],[SuchBeginn]]+1),"~",""),"")</f>
        <v/>
      </c>
      <c r="AB17" s="118">
        <f>IFERROR(IF(ISBLANK(Tab_AG[[#This Row],[AG]]),Tab_Verschiebungen[[#This Row],[SitzeHO]],0),SUMIFS(Tab_AG[SItzeImHO_Hilf],Tab_AG[AG],Tab_AG[[#This Row],[Name_Hilf]]))</f>
        <v>0</v>
      </c>
      <c r="AD17" s="112" t="str">
        <f>IF(Tab_Verfahren[[#This Row],[QK_Min]]=Tab_Verfahren[[#This Row],[QK_Max]],"genau "&amp;Tab_Verfahren[[#This Row],[QK_Min]],Tab_Verfahren[[#This Row],[QK_Min]]&amp;" oder "&amp;Tab_Verfahren[[#This Row],[QK_Max]])</f>
        <v>genau 0</v>
      </c>
      <c r="AE17" s="110">
        <f>ROUNDDOWN(Aussschussgröße*Tab_AG[[#This Row],[SitzeHO]]/Tab_Wahlergebnis[[#Totals],[SitzeHO]],0)</f>
        <v>0</v>
      </c>
      <c r="AF17" s="110">
        <f>ROUNDUP(Aussschussgröße*Tab_AG[[#This Row],[SitzeHO]]/Tab_Wahlergebnis[[#Totals],[SitzeHO]],0)</f>
        <v>0</v>
      </c>
      <c r="AG17" s="119">
        <f>ROUND(Tab_AG[[#This Row],[SitzeHO]]/(Tab_Verfahren[[#This Row],[QK_Min]]+1),4)</f>
        <v>0</v>
      </c>
      <c r="AH17" s="119">
        <f>ROUND(Aussschussgröße*Tab_AG[[#This Row],[SitzeHO]]/Tab_Wahlergebnis[[#Totals],[SitzeHO]]-Tab_Verfahren[[#This Row],[QK_Min]],4)</f>
        <v>0</v>
      </c>
      <c r="AI17" s="119">
        <f>ROUND(Tab_AG[[#This Row],[SitzeHO]]/(Tab_Verfahren[[#This Row],[QK_Min]]*2+1),4)</f>
        <v>0</v>
      </c>
      <c r="AJ17" s="120">
        <f>IF(Tab_Verfahren[[#This Row],[QK_Min]]=Tab_Verfahren[[#This Row],[QK_Max]],0,IF(Verfahren=VerfdH,Tab_Verfahren[[#This Row],[AZ_dH]],IF(Verfahren=VerfHN,Tab_Verfahren[[#This Row],[AZ_HN]],IF(Verfahren=VerfSLS,Tab_Verfahren[[#This Row],[AZ_SLS]],#N/A))))</f>
        <v>0</v>
      </c>
      <c r="AK17" s="120" t="str">
        <f>IF(Tab_Verfahren[[#This Row],[AZ]]&gt;0,Tab_Verfahren[[#This Row],[QK_Max]]&amp;". Sitz:   "&amp;IF(Verfahren=VerfdH,Tab_AG[[#This Row],[SitzeHO]]&amp;"/"&amp;Tab_Verfahren[[#This Row],[QK_Max]],"")&amp;IF(Verfahren=VerfSLS,Tab_AG[[#This Row],[SitzeHO]]&amp;"/"&amp;Tab_Verfahren[[#This Row],[QK_Max]]*2-1,"")&amp;IF(Verfahren=VerfHN,Tab_AG[[#This Row],[SitzeHO]]&amp;"/"&amp;Tab_AG[[#Totals],[SitzeHO]]&amp;"*"&amp;Aussschussgröße&amp;"-"&amp;Tab_Verfahren[[#This Row],[QK_Min]],"")&amp;" = "&amp;TEXT(Tab_Verfahren[[#This Row],[AZ]],"0,000"),"")</f>
        <v/>
      </c>
      <c r="AL17" s="121">
        <f>_xlfn.RANK.EQ(Tab_Verfahren[[#This Row],[AZ]],Tab_Verfahren[AZ],0)</f>
        <v>10</v>
      </c>
      <c r="AM17" s="119" t="str">
        <f>IF(COUNTIFS(Tab_Verfahren[Rang],"&lt;="&amp;Tab_Verfahren[[#This Row],[Rang]])&lt;=Aussschussgröße-SUM(Tab_Verfahren[QK_Min]),"SITZ",IF(COUNTIFS(Tab_Verfahren[Rang],"&lt;"&amp;Tab_Verfahren[[#This Row],[Rang]])&lt;Aussschussgröße-SUM(Tab_Verfahren[QK_Min]),"PATT",""))</f>
        <v/>
      </c>
      <c r="AN17" s="118">
        <f>Tab_Verfahren[[#This Row],[QK_Min]]+IF(Tab_Verfahren[[#This Row],[Status]]="SITZ",1,0)</f>
        <v>0</v>
      </c>
      <c r="AO17" s="122">
        <f>IF(Tab_Verfahren[[#This Row],[Status]]&lt;&gt;"PATT",0,(Aussschussgröße-SUM(Tab_Verfahren[Sitze]))/COUNTIFS(Tab_Verfahren[Status],"PATT"))</f>
        <v>0</v>
      </c>
      <c r="AP17" s="96"/>
      <c r="AQ17" t="b">
        <f>OR(Tab_Verfahren[[#This Row],[LosCh]]=0,IFERROR(AND(ISNUMBER(Tab_Wahlergebnis[[#This Row],[Stimmen]]),Tab_Verschiebungen[[#This Row],[Plus]]+Tab_Verschiebungen[[#This Row],[Minus]]=0),FALSE))</f>
        <v>1</v>
      </c>
      <c r="AR17">
        <f>IF(AND(AND(Tabelle16[StimmenZul]),Tab_Verfahren[[#This Row],[LosCh]]&gt;0),Tab_Wahlergebnis[[#This Row],[Stimmen]],0)</f>
        <v>0</v>
      </c>
      <c r="AS17" t="b">
        <f>RANK(Tabelle16[[#This Row],[StimmenSitz]],Tabelle16[StimmenSitz],0)&lt;=Tab_Verfahren[[#Totals],[LosCh]]</f>
        <v>1</v>
      </c>
      <c r="AT17" s="97" t="str">
        <f>IF(Tab_Verfahren[[#This Row],[LosCh]]=0,"",IF(NOT(AND(Tabelle16[StimmenZul])),"UNZULÄSSIG",IF(Tabelle16[[#This Row],[StRang]],"SITZ ("&amp;Tabelle16[[#This Row],[StimmenSitz]]&amp;")","K. SITZ ("&amp;Tabelle16[[#This Row],[StimmenSitz]]&amp;")")))</f>
        <v/>
      </c>
      <c r="AU17" s="105">
        <f ca="1">RAND()*Tab_Verfahren[[#This Row],[LosCh]]</f>
        <v>0</v>
      </c>
      <c r="AV17" t="str">
        <f>IF(Tab_Verfahren[[#This Row],[LosCh]]=0,"",IF(_xlfn.RANK.EQ(Tabelle16[[#This Row],[Zufall]],Tabelle16[Zufall])&lt;=Tab_Verfahren[[#Totals],[LosCh]],"SITZ ("&amp;TEXT(Tabelle16[[#This Row],[Zufall]],",0000")&amp;")","NIETE ("&amp;TEXT(Tabelle16[[#This Row],[Zufall]],",0000")&amp;")"))</f>
        <v/>
      </c>
      <c r="AW17" s="131" t="str">
        <f>IF(Pattverfahren="Stimmen",Tabelle16[[#This Row],[Stimmenzahl]],IF(Pattverfahren="Verlosung",Tabelle16[[#This Row],[Verlosung]],""))</f>
        <v/>
      </c>
      <c r="AX17" s="96"/>
      <c r="AY17" s="96"/>
      <c r="AZ17" s="96"/>
      <c r="BA17" s="96"/>
      <c r="BB17" s="96"/>
      <c r="BC17" s="96"/>
      <c r="BD17" s="96"/>
      <c r="BE17" s="96"/>
      <c r="BF17" s="96"/>
      <c r="BG17" s="96"/>
    </row>
    <row r="18" spans="2:59" x14ac:dyDescent="0.25">
      <c r="B18" s="109"/>
      <c r="C18" s="109"/>
      <c r="D18" s="142">
        <f>SUBTOTAL(109,Tab_Wahlergebnis[SitzeHO])</f>
        <v>70</v>
      </c>
      <c r="E18" s="96"/>
      <c r="F18" s="125" t="str">
        <f>IFERROR(IF(ISBLANK(Tab_Verschiebungen[[#This Row],[NameNeu]]),Tab_Wahlergebnis[[#This Row],[Name]],""),"")</f>
        <v/>
      </c>
      <c r="G18" s="104" t="s">
        <v>233</v>
      </c>
      <c r="H18" s="127" t="str">
        <f>IF(ISBLANK(Tab_Verschiebungen[[#This Row],[NameNeu]]),Tab_Verschiebungen[[#This Row],[NameAlt]],Tab_Verschiebungen[[#This Row],[NameNeu]])</f>
        <v>Müller, Herr</v>
      </c>
      <c r="I18" s="104">
        <v>1</v>
      </c>
      <c r="J18" s="104"/>
      <c r="K18">
        <f>IFERROR(Tab_Wahlergebnis[[#This Row],[SitzeHO]],0)+Tab_Verschiebungen[[#This Row],[Plus]]-Tab_Verschiebungen[[#This Row],[Minus]]</f>
        <v>1</v>
      </c>
      <c r="M18" s="111">
        <f>Tab_Verschiebungen[[#This Row],[SitzeHO]]/Tab_Wahlergebnis[[#Totals],[SitzeHO]]*Aussschussgröße</f>
        <v>0.18571428571428572</v>
      </c>
      <c r="N18" s="113">
        <f>ROUNDDOWN(Tab_QKSicher[[#This Row],[Ideal]],0)</f>
        <v>0</v>
      </c>
      <c r="O18" s="113">
        <f>ROUNDUP(Tab_QKSicher[[#This Row],[Ideal]],0)</f>
        <v>1</v>
      </c>
      <c r="P18" s="114" t="str">
        <f>IF(Tab_QKSicher[[#This Row],[QK_Min]]=Tab_QKSicher[[#This Row],[QK_Max]],"genau "&amp;Tab_QKSicher[[#This Row],[QK_Min]],Tab_QKSicher[[#This Row],[QK_Min]]&amp;" oder "&amp;Tab_QKSicher[[#This Row],[QK_Max]])</f>
        <v>0 oder 1</v>
      </c>
      <c r="Q18" s="113" t="b">
        <f>Tab_Verschiebungen[[#This Row],[SitzeHO]]&gt;Tab_Wahlergebnis[[#Totals],[SitzeHO]]/(1+Aussschussgröße)</f>
        <v>0</v>
      </c>
      <c r="S18" s="123" t="str">
        <f>IF(COUNTIF(Tab_AG[AG],Tab_AG[[#This Row],[Name_Hilf]])&gt;0,Tab_AG[[#This Row],[AGName]],Tab_AG[[#This Row],[Name_Hilf]])</f>
        <v>Müller, Herr</v>
      </c>
      <c r="T18" s="104" t="s">
        <v>176</v>
      </c>
      <c r="U18" s="123" t="str">
        <f>IFERROR(Tab_Verschiebungen[[#This Row],[Name]],"AG"&amp;ROW()-ROW(Tab_AG[[#Headers],[Name_Hilf]])-ROWS(Tab_QKSicher[Ideal]))</f>
        <v>Müller, Herr</v>
      </c>
      <c r="V18" s="113">
        <f>IFERROR(Tab_Verschiebungen[[#This Row],[SitzeHO]],0)</f>
        <v>1</v>
      </c>
      <c r="W18" s="113" t="str">
        <f>IF(ROW()=ROW(Tab_AG[[#Headers],[AGN_Alt]])+1,"",X17)</f>
        <v>AG1[~Lin]AG2[~Tie+ÖDP]AG3[~Bay]AG4[~Fra]</v>
      </c>
      <c r="X18" s="113" t="str">
        <f>IF(ISBLANK(Tab_AG[[#This Row],[AG]]),Tab_AG[[#This Row],[AGN_Alt]],IF(ISERROR(FIND(Tab_AG[[#This Row],[AG]],Tab_AG[[#This Row],[AGN_Alt]])),Tab_AG[[#This Row],[AGN_Alt]]&amp;Tab_AG[[#This Row],[AG]]&amp;"[~"&amp;MID(Tab_AG[[#This Row],[Name_Hilf]],1,3)&amp;"]",SUBSTITUTE(Tab_AG[[#This Row],[AGN_Alt]],Tab_AG[[#This Row],[AG]]&amp;"[~",Tab_AG[[#This Row],[AG]]&amp;"[~"&amp;MID(Tab_AG[[#This Row],[Name_Hilf]],1,3)&amp;"+")))</f>
        <v>AG1[~Mül+Lin]AG2[~Tie+ÖDP]AG3[~Bay]AG4[~Fra]</v>
      </c>
      <c r="Y18" s="113">
        <f>IFERROR(FIND(Tab_AG[[#This Row],[Name_Hilf]]&amp;"[~",Tab_AG[[#This Row],[AGN_Neu]]),0)</f>
        <v>0</v>
      </c>
      <c r="Z18" s="113">
        <f>IFERROR(FIND("]",Tab_AG[[#This Row],[AGN_Neu]],Tab_AG[[#This Row],[SuchBeginn]]),0)</f>
        <v>0</v>
      </c>
      <c r="AA18" s="113" t="str">
        <f>IFERROR(SUBSTITUTE(MID(Tab_AG[[#This Row],[AGN_Neu]],Tab_AG[[#This Row],[SuchBeginn]],Tab_AG[[#This Row],[SuchKlammer]]-Tab_AG[[#This Row],[SuchBeginn]]+1),"~",""),"")</f>
        <v/>
      </c>
      <c r="AB18" s="118">
        <f>IFERROR(IF(ISBLANK(Tab_AG[[#This Row],[AG]]),Tab_Verschiebungen[[#This Row],[SitzeHO]],0),SUMIFS(Tab_AG[SItzeImHO_Hilf],Tab_AG[AG],Tab_AG[[#This Row],[Name_Hilf]]))</f>
        <v>0</v>
      </c>
      <c r="AD18" s="112" t="str">
        <f>IF(Tab_Verfahren[[#This Row],[QK_Min]]=Tab_Verfahren[[#This Row],[QK_Max]],"genau "&amp;Tab_Verfahren[[#This Row],[QK_Min]],Tab_Verfahren[[#This Row],[QK_Min]]&amp;" oder "&amp;Tab_Verfahren[[#This Row],[QK_Max]])</f>
        <v>genau 0</v>
      </c>
      <c r="AE18" s="110">
        <f>ROUNDDOWN(Aussschussgröße*Tab_AG[[#This Row],[SitzeHO]]/Tab_Wahlergebnis[[#Totals],[SitzeHO]],0)</f>
        <v>0</v>
      </c>
      <c r="AF18" s="110">
        <f>ROUNDUP(Aussschussgröße*Tab_AG[[#This Row],[SitzeHO]]/Tab_Wahlergebnis[[#Totals],[SitzeHO]],0)</f>
        <v>0</v>
      </c>
      <c r="AG18" s="119">
        <f>ROUND(Tab_AG[[#This Row],[SitzeHO]]/(Tab_Verfahren[[#This Row],[QK_Min]]+1),4)</f>
        <v>0</v>
      </c>
      <c r="AH18" s="119">
        <f>ROUND(Aussschussgröße*Tab_AG[[#This Row],[SitzeHO]]/Tab_Wahlergebnis[[#Totals],[SitzeHO]]-Tab_Verfahren[[#This Row],[QK_Min]],4)</f>
        <v>0</v>
      </c>
      <c r="AI18" s="119">
        <f>ROUND(Tab_AG[[#This Row],[SitzeHO]]/(Tab_Verfahren[[#This Row],[QK_Min]]*2+1),4)</f>
        <v>0</v>
      </c>
      <c r="AJ18" s="120">
        <f>IF(Tab_Verfahren[[#This Row],[QK_Min]]=Tab_Verfahren[[#This Row],[QK_Max]],0,IF(Verfahren=VerfdH,Tab_Verfahren[[#This Row],[AZ_dH]],IF(Verfahren=VerfHN,Tab_Verfahren[[#This Row],[AZ_HN]],IF(Verfahren=VerfSLS,Tab_Verfahren[[#This Row],[AZ_SLS]],#N/A))))</f>
        <v>0</v>
      </c>
      <c r="AK18" s="120" t="str">
        <f>IF(Tab_Verfahren[[#This Row],[AZ]]&gt;0,Tab_Verfahren[[#This Row],[QK_Max]]&amp;". Sitz:   "&amp;IF(Verfahren=VerfdH,Tab_AG[[#This Row],[SitzeHO]]&amp;"/"&amp;Tab_Verfahren[[#This Row],[QK_Max]],"")&amp;IF(Verfahren=VerfSLS,Tab_AG[[#This Row],[SitzeHO]]&amp;"/"&amp;Tab_Verfahren[[#This Row],[QK_Max]]*2-1,"")&amp;IF(Verfahren=VerfHN,Tab_AG[[#This Row],[SitzeHO]]&amp;"/"&amp;Tab_AG[[#Totals],[SitzeHO]]&amp;"*"&amp;Aussschussgröße&amp;"-"&amp;Tab_Verfahren[[#This Row],[QK_Min]],"")&amp;" = "&amp;TEXT(Tab_Verfahren[[#This Row],[AZ]],"0,000"),"")</f>
        <v/>
      </c>
      <c r="AL18" s="121">
        <f>_xlfn.RANK.EQ(Tab_Verfahren[[#This Row],[AZ]],Tab_Verfahren[AZ],0)</f>
        <v>10</v>
      </c>
      <c r="AM18" s="119" t="str">
        <f>IF(COUNTIFS(Tab_Verfahren[Rang],"&lt;="&amp;Tab_Verfahren[[#This Row],[Rang]])&lt;=Aussschussgröße-SUM(Tab_Verfahren[QK_Min]),"SITZ",IF(COUNTIFS(Tab_Verfahren[Rang],"&lt;"&amp;Tab_Verfahren[[#This Row],[Rang]])&lt;Aussschussgröße-SUM(Tab_Verfahren[QK_Min]),"PATT",""))</f>
        <v/>
      </c>
      <c r="AN18" s="118">
        <f>Tab_Verfahren[[#This Row],[QK_Min]]+IF(Tab_Verfahren[[#This Row],[Status]]="SITZ",1,0)</f>
        <v>0</v>
      </c>
      <c r="AO18" s="122">
        <f>IF(Tab_Verfahren[[#This Row],[Status]]&lt;&gt;"PATT",0,(Aussschussgröße-SUM(Tab_Verfahren[Sitze]))/COUNTIFS(Tab_Verfahren[Status],"PATT"))</f>
        <v>0</v>
      </c>
      <c r="AP18" s="96"/>
      <c r="AQ18" t="b">
        <f>OR(Tab_Verfahren[[#This Row],[LosCh]]=0,IFERROR(AND(ISNUMBER(Tab_Wahlergebnis[[#This Row],[Stimmen]]),Tab_Verschiebungen[[#This Row],[Plus]]+Tab_Verschiebungen[[#This Row],[Minus]]=0),FALSE))</f>
        <v>1</v>
      </c>
      <c r="AR18">
        <f>IF(AND(AND(Tabelle16[StimmenZul]),Tab_Verfahren[[#This Row],[LosCh]]&gt;0),Tab_Wahlergebnis[[#This Row],[Stimmen]],0)</f>
        <v>0</v>
      </c>
      <c r="AS18" t="b">
        <f>RANK(Tabelle16[[#This Row],[StimmenSitz]],Tabelle16[StimmenSitz],0)&lt;=Tab_Verfahren[[#Totals],[LosCh]]</f>
        <v>1</v>
      </c>
      <c r="AT18" s="97" t="str">
        <f>IF(Tab_Verfahren[[#This Row],[LosCh]]=0,"",IF(NOT(AND(Tabelle16[StimmenZul])),"UNZULÄSSIG",IF(Tabelle16[[#This Row],[StRang]],"SITZ ("&amp;Tabelle16[[#This Row],[StimmenSitz]]&amp;")","K. SITZ ("&amp;Tabelle16[[#This Row],[StimmenSitz]]&amp;")")))</f>
        <v/>
      </c>
      <c r="AU18" s="105">
        <f ca="1">RAND()*Tab_Verfahren[[#This Row],[LosCh]]</f>
        <v>0</v>
      </c>
      <c r="AV18" t="str">
        <f>IF(Tab_Verfahren[[#This Row],[LosCh]]=0,"",IF(_xlfn.RANK.EQ(Tabelle16[[#This Row],[Zufall]],Tabelle16[Zufall])&lt;=Tab_Verfahren[[#Totals],[LosCh]],"SITZ ("&amp;TEXT(Tabelle16[[#This Row],[Zufall]],",0000")&amp;")","NIETE ("&amp;TEXT(Tabelle16[[#This Row],[Zufall]],",0000")&amp;")"))</f>
        <v/>
      </c>
      <c r="AW18" s="131" t="str">
        <f>IF(Pattverfahren="Stimmen",Tabelle16[[#This Row],[Stimmenzahl]],IF(Pattverfahren="Verlosung",Tabelle16[[#This Row],[Verlosung]],""))</f>
        <v/>
      </c>
      <c r="AX18" s="96"/>
      <c r="AY18" s="96"/>
      <c r="AZ18" s="96"/>
      <c r="BA18" s="96"/>
      <c r="BB18" s="96"/>
      <c r="BC18" s="96"/>
      <c r="BD18" s="96"/>
      <c r="BE18" s="96"/>
      <c r="BF18" s="96"/>
      <c r="BG18" s="96"/>
    </row>
    <row r="19" spans="2:59" x14ac:dyDescent="0.25">
      <c r="B19" s="96"/>
      <c r="C19" s="96"/>
      <c r="D19" s="96"/>
      <c r="E19" s="96"/>
      <c r="F19" s="126" t="str">
        <f>IFERROR(IF(ISBLANK(Tab_Verschiebungen[[#This Row],[NameNeu]]),Tab_Wahlergebnis[[#This Row],[Name]],""),"")</f>
        <v/>
      </c>
      <c r="G19" s="104" t="s">
        <v>245</v>
      </c>
      <c r="H19" s="127" t="str">
        <f>IF(ISBLANK(Tab_Verschiebungen[[#This Row],[NameNeu]]),Tab_Verschiebungen[[#This Row],[NameAlt]],Tab_Verschiebungen[[#This Row],[NameNeu]])</f>
        <v>Mayer, Frau</v>
      </c>
      <c r="I19" s="104">
        <v>1</v>
      </c>
      <c r="J19" s="104"/>
      <c r="K19">
        <f>IFERROR(Tab_Wahlergebnis[[#This Row],[SitzeHO]],0)+Tab_Verschiebungen[[#This Row],[Plus]]-Tab_Verschiebungen[[#This Row],[Minus]]</f>
        <v>1</v>
      </c>
      <c r="M19" s="115">
        <f>Tab_Verschiebungen[[#This Row],[SitzeHO]]/Tab_Wahlergebnis[[#Totals],[SitzeHO]]*Aussschussgröße</f>
        <v>0.18571428571428572</v>
      </c>
      <c r="N19" s="116">
        <f>ROUNDDOWN(Tab_QKSicher[[#This Row],[Ideal]],0)</f>
        <v>0</v>
      </c>
      <c r="O19" s="116">
        <f>ROUNDUP(Tab_QKSicher[[#This Row],[Ideal]],0)</f>
        <v>1</v>
      </c>
      <c r="P19" s="117" t="str">
        <f>IF(Tab_QKSicher[[#This Row],[QK_Min]]=Tab_QKSicher[[#This Row],[QK_Max]],"genau "&amp;Tab_QKSicher[[#This Row],[QK_Min]],Tab_QKSicher[[#This Row],[QK_Min]]&amp;" oder "&amp;Tab_QKSicher[[#This Row],[QK_Max]])</f>
        <v>0 oder 1</v>
      </c>
      <c r="Q19" s="116" t="b">
        <f>Tab_Verschiebungen[[#This Row],[SitzeHO]]&gt;Tab_Wahlergebnis[[#Totals],[SitzeHO]]/(1+Aussschussgröße)</f>
        <v>0</v>
      </c>
      <c r="S19" s="123" t="str">
        <f>IF(COUNTIF(Tab_AG[AG],Tab_AG[[#This Row],[Name_Hilf]])&gt;0,Tab_AG[[#This Row],[AGName]],Tab_AG[[#This Row],[Name_Hilf]])</f>
        <v>Mayer, Frau</v>
      </c>
      <c r="T19" s="104" t="s">
        <v>177</v>
      </c>
      <c r="U19" s="123" t="str">
        <f>IFERROR(Tab_Verschiebungen[[#This Row],[Name]],"AG"&amp;ROW()-ROW(Tab_AG[[#Headers],[Name_Hilf]])-ROWS(Tab_QKSicher[Ideal]))</f>
        <v>Mayer, Frau</v>
      </c>
      <c r="V19" s="113">
        <f>IFERROR(Tab_Verschiebungen[[#This Row],[SitzeHO]],0)</f>
        <v>1</v>
      </c>
      <c r="W19" s="113" t="str">
        <f>IF(ROW()=ROW(Tab_AG[[#Headers],[AGN_Alt]])+1,"",X18)</f>
        <v>AG1[~Mül+Lin]AG2[~Tie+ÖDP]AG3[~Bay]AG4[~Fra]</v>
      </c>
      <c r="X19" s="113" t="str">
        <f>IF(ISBLANK(Tab_AG[[#This Row],[AG]]),Tab_AG[[#This Row],[AGN_Alt]],IF(ISERROR(FIND(Tab_AG[[#This Row],[AG]],Tab_AG[[#This Row],[AGN_Alt]])),Tab_AG[[#This Row],[AGN_Alt]]&amp;Tab_AG[[#This Row],[AG]]&amp;"[~"&amp;MID(Tab_AG[[#This Row],[Name_Hilf]],1,3)&amp;"]",SUBSTITUTE(Tab_AG[[#This Row],[AGN_Alt]],Tab_AG[[#This Row],[AG]]&amp;"[~",Tab_AG[[#This Row],[AG]]&amp;"[~"&amp;MID(Tab_AG[[#This Row],[Name_Hilf]],1,3)&amp;"+")))</f>
        <v>AG1[~Mül+Lin]AG2[~Tie+ÖDP]AG3[~May+Bay]AG4[~Fra]</v>
      </c>
      <c r="Y19" s="113">
        <f>IFERROR(FIND(Tab_AG[[#This Row],[Name_Hilf]]&amp;"[~",Tab_AG[[#This Row],[AGN_Neu]]),0)</f>
        <v>0</v>
      </c>
      <c r="Z19" s="113">
        <f>IFERROR(FIND("]",Tab_AG[[#This Row],[AGN_Neu]],Tab_AG[[#This Row],[SuchBeginn]]),0)</f>
        <v>0</v>
      </c>
      <c r="AA19" s="113" t="str">
        <f>IFERROR(SUBSTITUTE(MID(Tab_AG[[#This Row],[AGN_Neu]],Tab_AG[[#This Row],[SuchBeginn]],Tab_AG[[#This Row],[SuchKlammer]]-Tab_AG[[#This Row],[SuchBeginn]]+1),"~",""),"")</f>
        <v/>
      </c>
      <c r="AB19" s="118">
        <f>IFERROR(IF(ISBLANK(Tab_AG[[#This Row],[AG]]),Tab_Verschiebungen[[#This Row],[SitzeHO]],0),SUMIFS(Tab_AG[SItzeImHO_Hilf],Tab_AG[AG],Tab_AG[[#This Row],[Name_Hilf]]))</f>
        <v>0</v>
      </c>
      <c r="AD19" s="112" t="str">
        <f>IF(Tab_Verfahren[[#This Row],[QK_Min]]=Tab_Verfahren[[#This Row],[QK_Max]],"genau "&amp;Tab_Verfahren[[#This Row],[QK_Min]],Tab_Verfahren[[#This Row],[QK_Min]]&amp;" oder "&amp;Tab_Verfahren[[#This Row],[QK_Max]])</f>
        <v>genau 0</v>
      </c>
      <c r="AE19" s="110">
        <f>ROUNDDOWN(Aussschussgröße*Tab_AG[[#This Row],[SitzeHO]]/Tab_Wahlergebnis[[#Totals],[SitzeHO]],0)</f>
        <v>0</v>
      </c>
      <c r="AF19" s="110">
        <f>ROUNDUP(Aussschussgröße*Tab_AG[[#This Row],[SitzeHO]]/Tab_Wahlergebnis[[#Totals],[SitzeHO]],0)</f>
        <v>0</v>
      </c>
      <c r="AG19" s="119">
        <f>ROUND(Tab_AG[[#This Row],[SitzeHO]]/(Tab_Verfahren[[#This Row],[QK_Min]]+1),4)</f>
        <v>0</v>
      </c>
      <c r="AH19" s="119">
        <f>ROUND(Aussschussgröße*Tab_AG[[#This Row],[SitzeHO]]/Tab_Wahlergebnis[[#Totals],[SitzeHO]]-Tab_Verfahren[[#This Row],[QK_Min]],4)</f>
        <v>0</v>
      </c>
      <c r="AI19" s="119">
        <f>ROUND(Tab_AG[[#This Row],[SitzeHO]]/(Tab_Verfahren[[#This Row],[QK_Min]]*2+1),4)</f>
        <v>0</v>
      </c>
      <c r="AJ19" s="120">
        <f>IF(Tab_Verfahren[[#This Row],[QK_Min]]=Tab_Verfahren[[#This Row],[QK_Max]],0,IF(Verfahren=VerfdH,Tab_Verfahren[[#This Row],[AZ_dH]],IF(Verfahren=VerfHN,Tab_Verfahren[[#This Row],[AZ_HN]],IF(Verfahren=VerfSLS,Tab_Verfahren[[#This Row],[AZ_SLS]],#N/A))))</f>
        <v>0</v>
      </c>
      <c r="AK19" s="120" t="str">
        <f>IF(Tab_Verfahren[[#This Row],[AZ]]&gt;0,Tab_Verfahren[[#This Row],[QK_Max]]&amp;". Sitz:   "&amp;IF(Verfahren=VerfdH,Tab_AG[[#This Row],[SitzeHO]]&amp;"/"&amp;Tab_Verfahren[[#This Row],[QK_Max]],"")&amp;IF(Verfahren=VerfSLS,Tab_AG[[#This Row],[SitzeHO]]&amp;"/"&amp;Tab_Verfahren[[#This Row],[QK_Max]]*2-1,"")&amp;IF(Verfahren=VerfHN,Tab_AG[[#This Row],[SitzeHO]]&amp;"/"&amp;Tab_AG[[#Totals],[SitzeHO]]&amp;"*"&amp;Aussschussgröße&amp;"-"&amp;Tab_Verfahren[[#This Row],[QK_Min]],"")&amp;" = "&amp;TEXT(Tab_Verfahren[[#This Row],[AZ]],"0,000"),"")</f>
        <v/>
      </c>
      <c r="AL19" s="121">
        <f>_xlfn.RANK.EQ(Tab_Verfahren[[#This Row],[AZ]],Tab_Verfahren[AZ],0)</f>
        <v>10</v>
      </c>
      <c r="AM19" s="119" t="str">
        <f>IF(COUNTIFS(Tab_Verfahren[Rang],"&lt;="&amp;Tab_Verfahren[[#This Row],[Rang]])&lt;=Aussschussgröße-SUM(Tab_Verfahren[QK_Min]),"SITZ",IF(COUNTIFS(Tab_Verfahren[Rang],"&lt;"&amp;Tab_Verfahren[[#This Row],[Rang]])&lt;Aussschussgröße-SUM(Tab_Verfahren[QK_Min]),"PATT",""))</f>
        <v/>
      </c>
      <c r="AN19" s="118">
        <f>Tab_Verfahren[[#This Row],[QK_Min]]+IF(Tab_Verfahren[[#This Row],[Status]]="SITZ",1,0)</f>
        <v>0</v>
      </c>
      <c r="AO19" s="122">
        <f>IF(Tab_Verfahren[[#This Row],[Status]]&lt;&gt;"PATT",0,(Aussschussgröße-SUM(Tab_Verfahren[Sitze]))/COUNTIFS(Tab_Verfahren[Status],"PATT"))</f>
        <v>0</v>
      </c>
      <c r="AP19" s="96"/>
      <c r="AQ19" t="b">
        <f>OR(Tab_Verfahren[[#This Row],[LosCh]]=0,IFERROR(AND(ISNUMBER(Tab_Wahlergebnis[[#This Row],[Stimmen]]),Tab_Verschiebungen[[#This Row],[Plus]]+Tab_Verschiebungen[[#This Row],[Minus]]=0),FALSE))</f>
        <v>1</v>
      </c>
      <c r="AR19">
        <f>IF(AND(AND(Tabelle16[StimmenZul]),Tab_Verfahren[[#This Row],[LosCh]]&gt;0),Tab_Wahlergebnis[[#This Row],[Stimmen]],0)</f>
        <v>0</v>
      </c>
      <c r="AS19" t="b">
        <f>RANK(Tabelle16[[#This Row],[StimmenSitz]],Tabelle16[StimmenSitz],0)&lt;=Tab_Verfahren[[#Totals],[LosCh]]</f>
        <v>1</v>
      </c>
      <c r="AT19" s="97" t="str">
        <f>IF(Tab_Verfahren[[#This Row],[LosCh]]=0,"",IF(NOT(AND(Tabelle16[StimmenZul])),"UNZULÄSSIG",IF(Tabelle16[[#This Row],[StRang]],"SITZ ("&amp;Tabelle16[[#This Row],[StimmenSitz]]&amp;")","K. SITZ ("&amp;Tabelle16[[#This Row],[StimmenSitz]]&amp;")")))</f>
        <v/>
      </c>
      <c r="AU19" s="105">
        <f ca="1">RAND()*Tab_Verfahren[[#This Row],[LosCh]]</f>
        <v>0</v>
      </c>
      <c r="AV19" t="str">
        <f>IF(Tab_Verfahren[[#This Row],[LosCh]]=0,"",IF(_xlfn.RANK.EQ(Tabelle16[[#This Row],[Zufall]],Tabelle16[Zufall])&lt;=Tab_Verfahren[[#Totals],[LosCh]],"SITZ ("&amp;TEXT(Tabelle16[[#This Row],[Zufall]],",0000")&amp;")","NIETE ("&amp;TEXT(Tabelle16[[#This Row],[Zufall]],",0000")&amp;")"))</f>
        <v/>
      </c>
      <c r="AW19" s="131" t="str">
        <f>IF(Pattverfahren="Stimmen",Tabelle16[[#This Row],[Stimmenzahl]],IF(Pattverfahren="Verlosung",Tabelle16[[#This Row],[Verlosung]],""))</f>
        <v/>
      </c>
      <c r="AX19" s="96"/>
      <c r="AY19" s="96"/>
      <c r="AZ19" s="96"/>
      <c r="BA19" s="96"/>
      <c r="BB19" s="96"/>
      <c r="BC19" s="96"/>
      <c r="BD19" s="96"/>
      <c r="BE19" s="96"/>
      <c r="BF19" s="96"/>
      <c r="BG19" s="96"/>
    </row>
    <row r="20" spans="2:59" x14ac:dyDescent="0.25">
      <c r="B20" s="96"/>
      <c r="C20" s="96"/>
      <c r="D20" s="96"/>
      <c r="E20" s="96"/>
      <c r="F20" s="110"/>
      <c r="G20" s="109"/>
      <c r="H20" s="109"/>
      <c r="I20" s="109"/>
      <c r="J20" s="109"/>
      <c r="K20" s="140">
        <f>SUBTOTAL(109,Tab_Verschiebungen[SitzeHO])</f>
        <v>70</v>
      </c>
      <c r="M20" s="101"/>
      <c r="N20" s="102"/>
      <c r="O20" s="102"/>
      <c r="P20" s="141"/>
      <c r="Q20" s="102"/>
      <c r="S20" s="123" t="str">
        <f>IF(COUNTIF(Tab_AG[AG],Tab_AG[[#This Row],[Name_Hilf]])&gt;0,Tab_AG[[#This Row],[AGName]],Tab_AG[[#This Row],[Name_Hilf]])</f>
        <v>AG1[Mül+Lin]</v>
      </c>
      <c r="T20" s="104"/>
      <c r="U20" s="123" t="str">
        <f>IFERROR(Tab_Verschiebungen[[#This Row],[Name]],"AG"&amp;ROW()-ROW(Tab_AG[[#Headers],[Name_Hilf]])-ROWS(Tab_QKSicher[Ideal]))</f>
        <v>AG1</v>
      </c>
      <c r="V20" s="113">
        <f>IFERROR(Tab_Verschiebungen[[#This Row],[SitzeHO]],0)</f>
        <v>0</v>
      </c>
      <c r="W20" s="113" t="str">
        <f>IF(ROW()=ROW(Tab_AG[[#Headers],[AGN_Alt]])+1,"",X19)</f>
        <v>AG1[~Mül+Lin]AG2[~Tie+ÖDP]AG3[~May+Bay]AG4[~Fra]</v>
      </c>
      <c r="X20" s="113" t="str">
        <f>IF(ISBLANK(Tab_AG[[#This Row],[AG]]),Tab_AG[[#This Row],[AGN_Alt]],IF(ISERROR(FIND(Tab_AG[[#This Row],[AG]],Tab_AG[[#This Row],[AGN_Alt]])),Tab_AG[[#This Row],[AGN_Alt]]&amp;Tab_AG[[#This Row],[AG]]&amp;"[~"&amp;MID(Tab_AG[[#This Row],[Name_Hilf]],1,3)&amp;"]",SUBSTITUTE(Tab_AG[[#This Row],[AGN_Alt]],Tab_AG[[#This Row],[AG]]&amp;"[~",Tab_AG[[#This Row],[AG]]&amp;"[~"&amp;MID(Tab_AG[[#This Row],[Name_Hilf]],1,3)&amp;"+")))</f>
        <v>AG1[~Mül+Lin]AG2[~Tie+ÖDP]AG3[~May+Bay]AG4[~Fra]</v>
      </c>
      <c r="Y20" s="113">
        <f>IFERROR(FIND(Tab_AG[[#This Row],[Name_Hilf]]&amp;"[~",Tab_AG[[#This Row],[AGN_Neu]]),0)</f>
        <v>1</v>
      </c>
      <c r="Z20" s="113">
        <f>IFERROR(FIND("]",Tab_AG[[#This Row],[AGN_Neu]],Tab_AG[[#This Row],[SuchBeginn]]),0)</f>
        <v>13</v>
      </c>
      <c r="AA20" s="113" t="str">
        <f>IFERROR(SUBSTITUTE(MID(Tab_AG[[#This Row],[AGN_Neu]],Tab_AG[[#This Row],[SuchBeginn]],Tab_AG[[#This Row],[SuchKlammer]]-Tab_AG[[#This Row],[SuchBeginn]]+1),"~",""),"")</f>
        <v>AG1[Mül+Lin]</v>
      </c>
      <c r="AB20" s="118">
        <f>IFERROR(IF(ISBLANK(Tab_AG[[#This Row],[AG]]),Tab_Verschiebungen[[#This Row],[SitzeHO]],0),SUMIFS(Tab_AG[SItzeImHO_Hilf],Tab_AG[AG],Tab_AG[[#This Row],[Name_Hilf]]))</f>
        <v>3</v>
      </c>
      <c r="AD20" s="112" t="str">
        <f>IF(Tab_Verfahren[[#This Row],[QK_Min]]=Tab_Verfahren[[#This Row],[QK_Max]],"genau "&amp;Tab_Verfahren[[#This Row],[QK_Min]],Tab_Verfahren[[#This Row],[QK_Min]]&amp;" oder "&amp;Tab_Verfahren[[#This Row],[QK_Max]])</f>
        <v>0 oder 1</v>
      </c>
      <c r="AE20" s="110">
        <f>ROUNDDOWN(Aussschussgröße*Tab_AG[[#This Row],[SitzeHO]]/Tab_Wahlergebnis[[#Totals],[SitzeHO]],0)</f>
        <v>0</v>
      </c>
      <c r="AF20" s="110">
        <f>ROUNDUP(Aussschussgröße*Tab_AG[[#This Row],[SitzeHO]]/Tab_Wahlergebnis[[#Totals],[SitzeHO]],0)</f>
        <v>1</v>
      </c>
      <c r="AG20" s="119">
        <f>ROUND(Tab_AG[[#This Row],[SitzeHO]]/(Tab_Verfahren[[#This Row],[QK_Min]]+1),4)</f>
        <v>3</v>
      </c>
      <c r="AH20" s="119">
        <f>ROUND(Aussschussgröße*Tab_AG[[#This Row],[SitzeHO]]/Tab_Wahlergebnis[[#Totals],[SitzeHO]]-Tab_Verfahren[[#This Row],[QK_Min]],4)</f>
        <v>0.55710000000000004</v>
      </c>
      <c r="AI20" s="119">
        <f>ROUND(Tab_AG[[#This Row],[SitzeHO]]/(Tab_Verfahren[[#This Row],[QK_Min]]*2+1),4)</f>
        <v>3</v>
      </c>
      <c r="AJ20" s="120">
        <f>IF(Tab_Verfahren[[#This Row],[QK_Min]]=Tab_Verfahren[[#This Row],[QK_Max]],0,IF(Verfahren=VerfdH,Tab_Verfahren[[#This Row],[AZ_dH]],IF(Verfahren=VerfHN,Tab_Verfahren[[#This Row],[AZ_HN]],IF(Verfahren=VerfSLS,Tab_Verfahren[[#This Row],[AZ_SLS]],#N/A))))</f>
        <v>3</v>
      </c>
      <c r="AK20" s="120" t="str">
        <f>IF(Tab_Verfahren[[#This Row],[AZ]]&gt;0,Tab_Verfahren[[#This Row],[QK_Max]]&amp;". Sitz:   "&amp;IF(Verfahren=VerfdH,Tab_AG[[#This Row],[SitzeHO]]&amp;"/"&amp;Tab_Verfahren[[#This Row],[QK_Max]],"")&amp;IF(Verfahren=VerfSLS,Tab_AG[[#This Row],[SitzeHO]]&amp;"/"&amp;Tab_Verfahren[[#This Row],[QK_Max]]*2-1,"")&amp;IF(Verfahren=VerfHN,Tab_AG[[#This Row],[SitzeHO]]&amp;"/"&amp;Tab_AG[[#Totals],[SitzeHO]]&amp;"*"&amp;Aussschussgröße&amp;"-"&amp;Tab_Verfahren[[#This Row],[QK_Min]],"")&amp;" = "&amp;TEXT(Tab_Verfahren[[#This Row],[AZ]],"0,000"),"")</f>
        <v>1. Sitz:   3/1 = 3,000</v>
      </c>
      <c r="AL20" s="121">
        <f>_xlfn.RANK.EQ(Tab_Verfahren[[#This Row],[AZ]],Tab_Verfahren[AZ],0)</f>
        <v>5</v>
      </c>
      <c r="AM20" s="119" t="str">
        <f>IF(COUNTIFS(Tab_Verfahren[Rang],"&lt;="&amp;Tab_Verfahren[[#This Row],[Rang]])&lt;=Aussschussgröße-SUM(Tab_Verfahren[QK_Min]),"SITZ",IF(COUNTIFS(Tab_Verfahren[Rang],"&lt;"&amp;Tab_Verfahren[[#This Row],[Rang]])&lt;Aussschussgröße-SUM(Tab_Verfahren[QK_Min]),"PATT",""))</f>
        <v>PATT</v>
      </c>
      <c r="AN20" s="118">
        <f>Tab_Verfahren[[#This Row],[QK_Min]]+IF(Tab_Verfahren[[#This Row],[Status]]="SITZ",1,0)</f>
        <v>0</v>
      </c>
      <c r="AO20" s="122">
        <f>IF(Tab_Verfahren[[#This Row],[Status]]&lt;&gt;"PATT",0,(Aussschussgröße-SUM(Tab_Verfahren[Sitze]))/COUNTIFS(Tab_Verfahren[Status],"PATT"))</f>
        <v>0.25</v>
      </c>
      <c r="AP20" s="96"/>
      <c r="AQ20" t="b">
        <f>OR(Tab_Verfahren[[#This Row],[LosCh]]=0,IFERROR(AND(ISNUMBER(Tab_Wahlergebnis[[#This Row],[Stimmen]]),Tab_Verschiebungen[[#This Row],[Plus]]+Tab_Verschiebungen[[#This Row],[Minus]]=0),FALSE))</f>
        <v>0</v>
      </c>
      <c r="AR20">
        <f>IF(AND(AND(Tabelle16[StimmenZul]),Tab_Verfahren[[#This Row],[LosCh]]&gt;0),Tab_Wahlergebnis[[#This Row],[Stimmen]],0)</f>
        <v>0</v>
      </c>
      <c r="AS20" t="b">
        <f>RANK(Tabelle16[[#This Row],[StimmenSitz]],Tabelle16[StimmenSitz],0)&lt;=Tab_Verfahren[[#Totals],[LosCh]]</f>
        <v>1</v>
      </c>
      <c r="AT20" s="97" t="str">
        <f>IF(Tab_Verfahren[[#This Row],[LosCh]]=0,"",IF(NOT(AND(Tabelle16[StimmenZul])),"UNZULÄSSIG",IF(Tabelle16[[#This Row],[StRang]],"SITZ ("&amp;Tabelle16[[#This Row],[StimmenSitz]]&amp;")","K. SITZ ("&amp;Tabelle16[[#This Row],[StimmenSitz]]&amp;")")))</f>
        <v>UNZULÄSSIG</v>
      </c>
      <c r="AU20" s="105">
        <f ca="1">RAND()*Tab_Verfahren[[#This Row],[LosCh]]</f>
        <v>0.13763777915018618</v>
      </c>
      <c r="AV20" t="str">
        <f ca="1">IF(Tab_Verfahren[[#This Row],[LosCh]]=0,"",IF(_xlfn.RANK.EQ(Tabelle16[[#This Row],[Zufall]],Tabelle16[Zufall])&lt;=Tab_Verfahren[[#Totals],[LosCh]],"SITZ ("&amp;TEXT(Tabelle16[[#This Row],[Zufall]],",0000")&amp;")","NIETE ("&amp;TEXT(Tabelle16[[#This Row],[Zufall]],",0000")&amp;")"))</f>
        <v>NIETE (,1376)</v>
      </c>
      <c r="AW20" s="131" t="str">
        <f ca="1">IF(Pattverfahren="Stimmen",Tabelle16[[#This Row],[Stimmenzahl]],IF(Pattverfahren="Verlosung",Tabelle16[[#This Row],[Verlosung]],""))</f>
        <v>NIETE (,1376)</v>
      </c>
      <c r="AX20" s="96"/>
      <c r="AY20" s="96"/>
      <c r="AZ20" s="96"/>
      <c r="BA20" s="96"/>
      <c r="BB20" s="96"/>
      <c r="BC20" s="96"/>
      <c r="BD20" s="96"/>
      <c r="BE20" s="96"/>
      <c r="BF20" s="96"/>
      <c r="BG20" s="96"/>
    </row>
    <row r="21" spans="2:59" x14ac:dyDescent="0.25">
      <c r="B21" s="96"/>
      <c r="C21" s="96"/>
      <c r="D21" s="96"/>
      <c r="E21" s="96"/>
      <c r="F21" s="98" t="str">
        <f>IFERROR(IF(ISBLANK(Tab_Verschiebungen[[#This Row],[NameNeu]]),Tab_Wahlergebnis[[#This Row],[Name]],""),"")</f>
        <v/>
      </c>
      <c r="G21" s="96"/>
      <c r="H21" s="96"/>
      <c r="I21" s="96"/>
      <c r="J21" s="96"/>
      <c r="K21" s="96"/>
      <c r="M21" s="101"/>
      <c r="N21" s="102"/>
      <c r="O21" s="102"/>
      <c r="P21" s="141"/>
      <c r="Q21" s="102"/>
      <c r="S21" s="123" t="str">
        <f>IF(COUNTIF(Tab_AG[AG],Tab_AG[[#This Row],[Name_Hilf]])&gt;0,Tab_AG[[#This Row],[AGName]],Tab_AG[[#This Row],[Name_Hilf]])</f>
        <v>AG2[Tie+ÖDP]</v>
      </c>
      <c r="T21" s="104"/>
      <c r="U21" s="123" t="str">
        <f>IFERROR(Tab_Verschiebungen[[#This Row],[Name]],"AG"&amp;ROW()-ROW(Tab_AG[[#Headers],[Name_Hilf]])-ROWS(Tab_QKSicher[Ideal]))</f>
        <v>AG2</v>
      </c>
      <c r="V21" s="113">
        <f>IFERROR(Tab_Verschiebungen[[#This Row],[SitzeHO]],0)</f>
        <v>0</v>
      </c>
      <c r="W21" s="113" t="str">
        <f>IF(ROW()=ROW(Tab_AG[[#Headers],[AGN_Alt]])+1,"",X20)</f>
        <v>AG1[~Mül+Lin]AG2[~Tie+ÖDP]AG3[~May+Bay]AG4[~Fra]</v>
      </c>
      <c r="X21" s="113" t="str">
        <f>IF(ISBLANK(Tab_AG[[#This Row],[AG]]),Tab_AG[[#This Row],[AGN_Alt]],IF(ISERROR(FIND(Tab_AG[[#This Row],[AG]],Tab_AG[[#This Row],[AGN_Alt]])),Tab_AG[[#This Row],[AGN_Alt]]&amp;Tab_AG[[#This Row],[AG]]&amp;"[~"&amp;MID(Tab_AG[[#This Row],[Name_Hilf]],1,3)&amp;"]",SUBSTITUTE(Tab_AG[[#This Row],[AGN_Alt]],Tab_AG[[#This Row],[AG]]&amp;"[~",Tab_AG[[#This Row],[AG]]&amp;"[~"&amp;MID(Tab_AG[[#This Row],[Name_Hilf]],1,3)&amp;"+")))</f>
        <v>AG1[~Mül+Lin]AG2[~Tie+ÖDP]AG3[~May+Bay]AG4[~Fra]</v>
      </c>
      <c r="Y21" s="113">
        <f>IFERROR(FIND(Tab_AG[[#This Row],[Name_Hilf]]&amp;"[~",Tab_AG[[#This Row],[AGN_Neu]]),0)</f>
        <v>14</v>
      </c>
      <c r="Z21" s="113">
        <f>IFERROR(FIND("]",Tab_AG[[#This Row],[AGN_Neu]],Tab_AG[[#This Row],[SuchBeginn]]),0)</f>
        <v>26</v>
      </c>
      <c r="AA21" s="113" t="str">
        <f>IFERROR(SUBSTITUTE(MID(Tab_AG[[#This Row],[AGN_Neu]],Tab_AG[[#This Row],[SuchBeginn]],Tab_AG[[#This Row],[SuchKlammer]]-Tab_AG[[#This Row],[SuchBeginn]]+1),"~",""),"")</f>
        <v>AG2[Tie+ÖDP]</v>
      </c>
      <c r="AB21" s="118">
        <f>IFERROR(IF(ISBLANK(Tab_AG[[#This Row],[AG]]),Tab_Verschiebungen[[#This Row],[SitzeHO]],0),SUMIFS(Tab_AG[SItzeImHO_Hilf],Tab_AG[AG],Tab_AG[[#This Row],[Name_Hilf]]))</f>
        <v>3</v>
      </c>
      <c r="AD21" s="112" t="str">
        <f>IF(Tab_Verfahren[[#This Row],[QK_Min]]=Tab_Verfahren[[#This Row],[QK_Max]],"genau "&amp;Tab_Verfahren[[#This Row],[QK_Min]],Tab_Verfahren[[#This Row],[QK_Min]]&amp;" oder "&amp;Tab_Verfahren[[#This Row],[QK_Max]])</f>
        <v>0 oder 1</v>
      </c>
      <c r="AE21" s="110">
        <f>ROUNDDOWN(Aussschussgröße*Tab_AG[[#This Row],[SitzeHO]]/Tab_Wahlergebnis[[#Totals],[SitzeHO]],0)</f>
        <v>0</v>
      </c>
      <c r="AF21" s="110">
        <f>ROUNDUP(Aussschussgröße*Tab_AG[[#This Row],[SitzeHO]]/Tab_Wahlergebnis[[#Totals],[SitzeHO]],0)</f>
        <v>1</v>
      </c>
      <c r="AG21" s="119">
        <f>ROUND(Tab_AG[[#This Row],[SitzeHO]]/(Tab_Verfahren[[#This Row],[QK_Min]]+1),4)</f>
        <v>3</v>
      </c>
      <c r="AH21" s="119">
        <f>ROUND(Aussschussgröße*Tab_AG[[#This Row],[SitzeHO]]/Tab_Wahlergebnis[[#Totals],[SitzeHO]]-Tab_Verfahren[[#This Row],[QK_Min]],4)</f>
        <v>0.55710000000000004</v>
      </c>
      <c r="AI21" s="119">
        <f>ROUND(Tab_AG[[#This Row],[SitzeHO]]/(Tab_Verfahren[[#This Row],[QK_Min]]*2+1),4)</f>
        <v>3</v>
      </c>
      <c r="AJ21" s="120">
        <f>IF(Tab_Verfahren[[#This Row],[QK_Min]]=Tab_Verfahren[[#This Row],[QK_Max]],0,IF(Verfahren=VerfdH,Tab_Verfahren[[#This Row],[AZ_dH]],IF(Verfahren=VerfHN,Tab_Verfahren[[#This Row],[AZ_HN]],IF(Verfahren=VerfSLS,Tab_Verfahren[[#This Row],[AZ_SLS]],#N/A))))</f>
        <v>3</v>
      </c>
      <c r="AK21" s="120" t="str">
        <f>IF(Tab_Verfahren[[#This Row],[AZ]]&gt;0,Tab_Verfahren[[#This Row],[QK_Max]]&amp;". Sitz:   "&amp;IF(Verfahren=VerfdH,Tab_AG[[#This Row],[SitzeHO]]&amp;"/"&amp;Tab_Verfahren[[#This Row],[QK_Max]],"")&amp;IF(Verfahren=VerfSLS,Tab_AG[[#This Row],[SitzeHO]]&amp;"/"&amp;Tab_Verfahren[[#This Row],[QK_Max]]*2-1,"")&amp;IF(Verfahren=VerfHN,Tab_AG[[#This Row],[SitzeHO]]&amp;"/"&amp;Tab_AG[[#Totals],[SitzeHO]]&amp;"*"&amp;Aussschussgröße&amp;"-"&amp;Tab_Verfahren[[#This Row],[QK_Min]],"")&amp;" = "&amp;TEXT(Tab_Verfahren[[#This Row],[AZ]],"0,000"),"")</f>
        <v>1. Sitz:   3/1 = 3,000</v>
      </c>
      <c r="AL21" s="121">
        <f>_xlfn.RANK.EQ(Tab_Verfahren[[#This Row],[AZ]],Tab_Verfahren[AZ],0)</f>
        <v>5</v>
      </c>
      <c r="AM21" s="119" t="str">
        <f>IF(COUNTIFS(Tab_Verfahren[Rang],"&lt;="&amp;Tab_Verfahren[[#This Row],[Rang]])&lt;=Aussschussgröße-SUM(Tab_Verfahren[QK_Min]),"SITZ",IF(COUNTIFS(Tab_Verfahren[Rang],"&lt;"&amp;Tab_Verfahren[[#This Row],[Rang]])&lt;Aussschussgröße-SUM(Tab_Verfahren[QK_Min]),"PATT",""))</f>
        <v>PATT</v>
      </c>
      <c r="AN21" s="118">
        <f>Tab_Verfahren[[#This Row],[QK_Min]]+IF(Tab_Verfahren[[#This Row],[Status]]="SITZ",1,0)</f>
        <v>0</v>
      </c>
      <c r="AO21" s="122">
        <f>IF(Tab_Verfahren[[#This Row],[Status]]&lt;&gt;"PATT",0,(Aussschussgröße-SUM(Tab_Verfahren[Sitze]))/COUNTIFS(Tab_Verfahren[Status],"PATT"))</f>
        <v>0.25</v>
      </c>
      <c r="AP21" s="96"/>
      <c r="AQ21" t="b">
        <f>OR(Tab_Verfahren[[#This Row],[LosCh]]=0,IFERROR(AND(ISNUMBER(Tab_Wahlergebnis[[#This Row],[Stimmen]]),Tab_Verschiebungen[[#This Row],[Plus]]+Tab_Verschiebungen[[#This Row],[Minus]]=0),FALSE))</f>
        <v>0</v>
      </c>
      <c r="AR21">
        <f>IF(AND(AND(Tabelle16[StimmenZul]),Tab_Verfahren[[#This Row],[LosCh]]&gt;0),Tab_Wahlergebnis[[#This Row],[Stimmen]],0)</f>
        <v>0</v>
      </c>
      <c r="AS21" t="b">
        <f>RANK(Tabelle16[[#This Row],[StimmenSitz]],Tabelle16[StimmenSitz],0)&lt;=Tab_Verfahren[[#Totals],[LosCh]]</f>
        <v>1</v>
      </c>
      <c r="AT21" s="97" t="str">
        <f>IF(Tab_Verfahren[[#This Row],[LosCh]]=0,"",IF(NOT(AND(Tabelle16[StimmenZul])),"UNZULÄSSIG",IF(Tabelle16[[#This Row],[StRang]],"SITZ ("&amp;Tabelle16[[#This Row],[StimmenSitz]]&amp;")","K. SITZ ("&amp;Tabelle16[[#This Row],[StimmenSitz]]&amp;")")))</f>
        <v>UNZULÄSSIG</v>
      </c>
      <c r="AU21" s="105">
        <f ca="1">RAND()*Tab_Verfahren[[#This Row],[LosCh]]</f>
        <v>0.22457726963567914</v>
      </c>
      <c r="AV21" t="str">
        <f ca="1">IF(Tab_Verfahren[[#This Row],[LosCh]]=0,"",IF(_xlfn.RANK.EQ(Tabelle16[[#This Row],[Zufall]],Tabelle16[Zufall])&lt;=Tab_Verfahren[[#Totals],[LosCh]],"SITZ ("&amp;TEXT(Tabelle16[[#This Row],[Zufall]],",0000")&amp;")","NIETE ("&amp;TEXT(Tabelle16[[#This Row],[Zufall]],",0000")&amp;")"))</f>
        <v>SITZ (,2246)</v>
      </c>
      <c r="AW21" s="131" t="str">
        <f ca="1">IF(Pattverfahren="Stimmen",Tabelle16[[#This Row],[Stimmenzahl]],IF(Pattverfahren="Verlosung",Tabelle16[[#This Row],[Verlosung]],""))</f>
        <v>SITZ (,2246)</v>
      </c>
      <c r="AX21" s="96"/>
      <c r="AY21" s="96"/>
      <c r="AZ21" s="96"/>
      <c r="BA21" s="96"/>
      <c r="BB21" s="96"/>
      <c r="BC21" s="96"/>
      <c r="BD21" s="96"/>
      <c r="BE21" s="96"/>
      <c r="BF21" s="96"/>
      <c r="BG21" s="96"/>
    </row>
    <row r="22" spans="2:59" s="96" customFormat="1" x14ac:dyDescent="0.25">
      <c r="F22" s="126" t="str">
        <f>IFERROR(IF(ISBLANK(Tab_Verschiebungen[[#This Row],[NameNeu]]),Tab_Wahlergebnis[[#This Row],[Name]],""),"")</f>
        <v/>
      </c>
      <c r="S22" s="123" t="str">
        <f>IF(COUNTIF(Tab_AG[AG],Tab_AG[[#This Row],[Name_Hilf]])&gt;0,Tab_AG[[#This Row],[AGName]],Tab_AG[[#This Row],[Name_Hilf]])</f>
        <v>AG3[May+Bay]</v>
      </c>
      <c r="T22" s="103"/>
      <c r="U22" s="123" t="str">
        <f>IFERROR(Tab_Verschiebungen[[#This Row],[Name]],"AG"&amp;ROW()-ROW(Tab_AG[[#Headers],[Name_Hilf]])-ROWS(Tab_QKSicher[Ideal]))</f>
        <v>AG3</v>
      </c>
      <c r="V22" s="102">
        <f>IFERROR(Tab_Verschiebungen[[#This Row],[SitzeHO]],0)</f>
        <v>0</v>
      </c>
      <c r="W22" s="102" t="str">
        <f>IF(ROW()=ROW(Tab_AG[[#Headers],[AGN_Alt]])+1,"",X21)</f>
        <v>AG1[~Mül+Lin]AG2[~Tie+ÖDP]AG3[~May+Bay]AG4[~Fra]</v>
      </c>
      <c r="X22" s="102" t="str">
        <f>IF(ISBLANK(Tab_AG[[#This Row],[AG]]),Tab_AG[[#This Row],[AGN_Alt]],IF(ISERROR(FIND(Tab_AG[[#This Row],[AG]],Tab_AG[[#This Row],[AGN_Alt]])),Tab_AG[[#This Row],[AGN_Alt]]&amp;Tab_AG[[#This Row],[AG]]&amp;"[~"&amp;MID(Tab_AG[[#This Row],[Name_Hilf]],1,3)&amp;"]",SUBSTITUTE(Tab_AG[[#This Row],[AGN_Alt]],Tab_AG[[#This Row],[AG]]&amp;"[~",Tab_AG[[#This Row],[AG]]&amp;"[~"&amp;MID(Tab_AG[[#This Row],[Name_Hilf]],1,3)&amp;"+")))</f>
        <v>AG1[~Mül+Lin]AG2[~Tie+ÖDP]AG3[~May+Bay]AG4[~Fra]</v>
      </c>
      <c r="Y22" s="102">
        <f>IFERROR(FIND(Tab_AG[[#This Row],[Name_Hilf]]&amp;"[~",Tab_AG[[#This Row],[AGN_Neu]]),0)</f>
        <v>27</v>
      </c>
      <c r="Z22" s="102">
        <f>IFERROR(FIND("]",Tab_AG[[#This Row],[AGN_Neu]],Tab_AG[[#This Row],[SuchBeginn]]),0)</f>
        <v>39</v>
      </c>
      <c r="AA22" s="102" t="str">
        <f>IFERROR(SUBSTITUTE(MID(Tab_AG[[#This Row],[AGN_Neu]],Tab_AG[[#This Row],[SuchBeginn]],Tab_AG[[#This Row],[SuchKlammer]]-Tab_AG[[#This Row],[SuchBeginn]]+1),"~",""),"")</f>
        <v>AG3[May+Bay]</v>
      </c>
      <c r="AB22" s="118">
        <f>IFERROR(IF(ISBLANK(Tab_AG[[#This Row],[AG]]),Tab_Verschiebungen[[#This Row],[SitzeHO]],0),SUMIFS(Tab_AG[SItzeImHO_Hilf],Tab_AG[AG],Tab_AG[[#This Row],[Name_Hilf]]))</f>
        <v>2</v>
      </c>
      <c r="AD22" s="112" t="str">
        <f>IF(Tab_Verfahren[[#This Row],[QK_Min]]=Tab_Verfahren[[#This Row],[QK_Max]],"genau "&amp;Tab_Verfahren[[#This Row],[QK_Min]],Tab_Verfahren[[#This Row],[QK_Min]]&amp;" oder "&amp;Tab_Verfahren[[#This Row],[QK_Max]])</f>
        <v>0 oder 1</v>
      </c>
      <c r="AE22" s="110">
        <f>ROUNDDOWN(Aussschussgröße*Tab_AG[[#This Row],[SitzeHO]]/Tab_Wahlergebnis[[#Totals],[SitzeHO]],0)</f>
        <v>0</v>
      </c>
      <c r="AF22" s="110">
        <f>ROUNDUP(Aussschussgröße*Tab_AG[[#This Row],[SitzeHO]]/Tab_Wahlergebnis[[#Totals],[SitzeHO]],0)</f>
        <v>1</v>
      </c>
      <c r="AG22" s="119">
        <f>ROUND(Tab_AG[[#This Row],[SitzeHO]]/(Tab_Verfahren[[#This Row],[QK_Min]]+1),4)</f>
        <v>2</v>
      </c>
      <c r="AH22" s="119">
        <f>ROUND(Aussschussgröße*Tab_AG[[#This Row],[SitzeHO]]/Tab_Wahlergebnis[[#Totals],[SitzeHO]]-Tab_Verfahren[[#This Row],[QK_Min]],4)</f>
        <v>0.37140000000000001</v>
      </c>
      <c r="AI22" s="119">
        <f>ROUND(Tab_AG[[#This Row],[SitzeHO]]/(Tab_Verfahren[[#This Row],[QK_Min]]*2+1),4)</f>
        <v>2</v>
      </c>
      <c r="AJ22" s="120">
        <f>IF(Tab_Verfahren[[#This Row],[QK_Min]]=Tab_Verfahren[[#This Row],[QK_Max]],0,IF(Verfahren=VerfdH,Tab_Verfahren[[#This Row],[AZ_dH]],IF(Verfahren=VerfHN,Tab_Verfahren[[#This Row],[AZ_HN]],IF(Verfahren=VerfSLS,Tab_Verfahren[[#This Row],[AZ_SLS]],#N/A))))</f>
        <v>2</v>
      </c>
      <c r="AK22" s="120" t="str">
        <f>IF(Tab_Verfahren[[#This Row],[AZ]]&gt;0,Tab_Verfahren[[#This Row],[QK_Max]]&amp;". Sitz:   "&amp;IF(Verfahren=VerfdH,Tab_AG[[#This Row],[SitzeHO]]&amp;"/"&amp;Tab_Verfahren[[#This Row],[QK_Max]],"")&amp;IF(Verfahren=VerfSLS,Tab_AG[[#This Row],[SitzeHO]]&amp;"/"&amp;Tab_Verfahren[[#This Row],[QK_Max]]*2-1,"")&amp;IF(Verfahren=VerfHN,Tab_AG[[#This Row],[SitzeHO]]&amp;"/"&amp;Tab_AG[[#Totals],[SitzeHO]]&amp;"*"&amp;Aussschussgröße&amp;"-"&amp;Tab_Verfahren[[#This Row],[QK_Min]],"")&amp;" = "&amp;TEXT(Tab_Verfahren[[#This Row],[AZ]],"0,000"),"")</f>
        <v>1. Sitz:   2/1 = 2,000</v>
      </c>
      <c r="AL22" s="121">
        <f>_xlfn.RANK.EQ(Tab_Verfahren[[#This Row],[AZ]],Tab_Verfahren[AZ],0)</f>
        <v>9</v>
      </c>
      <c r="AM22" s="119" t="str">
        <f>IF(COUNTIFS(Tab_Verfahren[Rang],"&lt;="&amp;Tab_Verfahren[[#This Row],[Rang]])&lt;=Aussschussgröße-SUM(Tab_Verfahren[QK_Min]),"SITZ",IF(COUNTIFS(Tab_Verfahren[Rang],"&lt;"&amp;Tab_Verfahren[[#This Row],[Rang]])&lt;Aussschussgröße-SUM(Tab_Verfahren[QK_Min]),"PATT",""))</f>
        <v/>
      </c>
      <c r="AN22" s="118">
        <f>Tab_Verfahren[[#This Row],[QK_Min]]+IF(Tab_Verfahren[[#This Row],[Status]]="SITZ",1,0)</f>
        <v>0</v>
      </c>
      <c r="AO22" s="122">
        <f>IF(Tab_Verfahren[[#This Row],[Status]]&lt;&gt;"PATT",0,(Aussschussgröße-SUM(Tab_Verfahren[Sitze]))/COUNTIFS(Tab_Verfahren[Status],"PATT"))</f>
        <v>0</v>
      </c>
      <c r="AQ22" s="102" t="b">
        <f>OR(Tab_Verfahren[[#This Row],[LosCh]]=0,IFERROR(AND(ISNUMBER(Tab_Wahlergebnis[[#This Row],[Stimmen]]),Tab_Verschiebungen[[#This Row],[Plus]]+Tab_Verschiebungen[[#This Row],[Minus]]=0),FALSE))</f>
        <v>1</v>
      </c>
      <c r="AR22" s="102">
        <f>IF(AND(AND(Tabelle16[StimmenZul]),Tab_Verfahren[[#This Row],[LosCh]]&gt;0),Tab_Wahlergebnis[[#This Row],[Stimmen]],0)</f>
        <v>0</v>
      </c>
      <c r="AS22" s="102" t="b">
        <f>RANK(Tabelle16[[#This Row],[StimmenSitz]],Tabelle16[StimmenSitz],0)&lt;=Tab_Verfahren[[#Totals],[LosCh]]</f>
        <v>1</v>
      </c>
      <c r="AT22" s="106" t="str">
        <f>IF(Tab_Verfahren[[#This Row],[LosCh]]=0,"",IF(NOT(AND(Tabelle16[StimmenZul])),"UNZULÄSSIG",IF(Tabelle16[[#This Row],[StRang]],"SITZ ("&amp;Tabelle16[[#This Row],[StimmenSitz]]&amp;")","K. SITZ ("&amp;Tabelle16[[#This Row],[StimmenSitz]]&amp;")")))</f>
        <v/>
      </c>
      <c r="AU22" s="128">
        <f ca="1">RAND()*Tab_Verfahren[[#This Row],[LosCh]]</f>
        <v>0</v>
      </c>
      <c r="AV22" s="102" t="str">
        <f>IF(Tab_Verfahren[[#This Row],[LosCh]]=0,"",IF(_xlfn.RANK.EQ(Tabelle16[[#This Row],[Zufall]],Tabelle16[Zufall])&lt;=Tab_Verfahren[[#Totals],[LosCh]],"SITZ ("&amp;TEXT(Tabelle16[[#This Row],[Zufall]],",0000")&amp;")","NIETE ("&amp;TEXT(Tabelle16[[#This Row],[Zufall]],",0000")&amp;")"))</f>
        <v/>
      </c>
      <c r="AW22" s="131" t="str">
        <f>IF(Pattverfahren="Stimmen",Tabelle16[[#This Row],[Stimmenzahl]],IF(Pattverfahren="Verlosung",Tabelle16[[#This Row],[Verlosung]],""))</f>
        <v/>
      </c>
    </row>
    <row r="23" spans="2:59" s="96" customFormat="1" x14ac:dyDescent="0.25">
      <c r="F23" s="98"/>
      <c r="S23" s="123" t="str">
        <f>IF(COUNTIF(Tab_AG[AG],Tab_AG[[#This Row],[Name_Hilf]])&gt;0,Tab_AG[[#This Row],[AGName]],Tab_AG[[#This Row],[Name_Hilf]])</f>
        <v>AG4[Fra]</v>
      </c>
      <c r="T23" s="103"/>
      <c r="U23" s="123" t="str">
        <f>IFERROR(Tab_Verschiebungen[[#This Row],[Name]],"AG"&amp;ROW()-ROW(Tab_AG[[#Headers],[Name_Hilf]])-ROWS(Tab_QKSicher[Ideal]))</f>
        <v>AG4</v>
      </c>
      <c r="V23" s="102">
        <f>IFERROR(Tab_Verschiebungen[[#This Row],[SitzeHO]],0)</f>
        <v>0</v>
      </c>
      <c r="W23" s="102" t="str">
        <f>IF(ROW()=ROW(Tab_AG[[#Headers],[AGN_Alt]])+1,"",X22)</f>
        <v>AG1[~Mül+Lin]AG2[~Tie+ÖDP]AG3[~May+Bay]AG4[~Fra]</v>
      </c>
      <c r="X23" s="102" t="str">
        <f>IF(ISBLANK(Tab_AG[[#This Row],[AG]]),Tab_AG[[#This Row],[AGN_Alt]],IF(ISERROR(FIND(Tab_AG[[#This Row],[AG]],Tab_AG[[#This Row],[AGN_Alt]])),Tab_AG[[#This Row],[AGN_Alt]]&amp;Tab_AG[[#This Row],[AG]]&amp;"[~"&amp;MID(Tab_AG[[#This Row],[Name_Hilf]],1,3)&amp;"]",SUBSTITUTE(Tab_AG[[#This Row],[AGN_Alt]],Tab_AG[[#This Row],[AG]]&amp;"[~",Tab_AG[[#This Row],[AG]]&amp;"[~"&amp;MID(Tab_AG[[#This Row],[Name_Hilf]],1,3)&amp;"+")))</f>
        <v>AG1[~Mül+Lin]AG2[~Tie+ÖDP]AG3[~May+Bay]AG4[~Fra]</v>
      </c>
      <c r="Y23" s="102">
        <f>IFERROR(FIND(Tab_AG[[#This Row],[Name_Hilf]]&amp;"[~",Tab_AG[[#This Row],[AGN_Neu]]),0)</f>
        <v>40</v>
      </c>
      <c r="Z23" s="102">
        <f>IFERROR(FIND("]",Tab_AG[[#This Row],[AGN_Neu]],Tab_AG[[#This Row],[SuchBeginn]]),0)</f>
        <v>48</v>
      </c>
      <c r="AA23" s="102" t="str">
        <f>IFERROR(SUBSTITUTE(MID(Tab_AG[[#This Row],[AGN_Neu]],Tab_AG[[#This Row],[SuchBeginn]],Tab_AG[[#This Row],[SuchKlammer]]-Tab_AG[[#This Row],[SuchBeginn]]+1),"~",""),"")</f>
        <v>AG4[Fra]</v>
      </c>
      <c r="AB23" s="118">
        <f>IFERROR(IF(ISBLANK(Tab_AG[[#This Row],[AG]]),Tab_Verschiebungen[[#This Row],[SitzeHO]],0),SUMIFS(Tab_AG[SItzeImHO_Hilf],Tab_AG[AG],Tab_AG[[#This Row],[Name_Hilf]]))</f>
        <v>0</v>
      </c>
      <c r="AD23" s="112" t="str">
        <f>IF(Tab_Verfahren[[#This Row],[QK_Min]]=Tab_Verfahren[[#This Row],[QK_Max]],"genau "&amp;Tab_Verfahren[[#This Row],[QK_Min]],Tab_Verfahren[[#This Row],[QK_Min]]&amp;" oder "&amp;Tab_Verfahren[[#This Row],[QK_Max]])</f>
        <v>genau 0</v>
      </c>
      <c r="AE23" s="110">
        <f>ROUNDDOWN(Aussschussgröße*Tab_AG[[#This Row],[SitzeHO]]/Tab_Wahlergebnis[[#Totals],[SitzeHO]],0)</f>
        <v>0</v>
      </c>
      <c r="AF23" s="110">
        <f>ROUNDUP(Aussschussgröße*Tab_AG[[#This Row],[SitzeHO]]/Tab_Wahlergebnis[[#Totals],[SitzeHO]],0)</f>
        <v>0</v>
      </c>
      <c r="AG23" s="119">
        <f>ROUND(Tab_AG[[#This Row],[SitzeHO]]/(Tab_Verfahren[[#This Row],[QK_Min]]+1),4)</f>
        <v>0</v>
      </c>
      <c r="AH23" s="119">
        <f>ROUND(Aussschussgröße*Tab_AG[[#This Row],[SitzeHO]]/Tab_Wahlergebnis[[#Totals],[SitzeHO]]-Tab_Verfahren[[#This Row],[QK_Min]],4)</f>
        <v>0</v>
      </c>
      <c r="AI23" s="119">
        <f>ROUND(Tab_AG[[#This Row],[SitzeHO]]/(Tab_Verfahren[[#This Row],[QK_Min]]*2+1),4)</f>
        <v>0</v>
      </c>
      <c r="AJ23" s="120">
        <f>IF(Tab_Verfahren[[#This Row],[QK_Min]]=Tab_Verfahren[[#This Row],[QK_Max]],0,IF(Verfahren=VerfdH,Tab_Verfahren[[#This Row],[AZ_dH]],IF(Verfahren=VerfHN,Tab_Verfahren[[#This Row],[AZ_HN]],IF(Verfahren=VerfSLS,Tab_Verfahren[[#This Row],[AZ_SLS]],#N/A))))</f>
        <v>0</v>
      </c>
      <c r="AK23" s="120" t="str">
        <f>IF(Tab_Verfahren[[#This Row],[AZ]]&gt;0,Tab_Verfahren[[#This Row],[QK_Max]]&amp;". Sitz:   "&amp;IF(Verfahren=VerfdH,Tab_AG[[#This Row],[SitzeHO]]&amp;"/"&amp;Tab_Verfahren[[#This Row],[QK_Max]],"")&amp;IF(Verfahren=VerfSLS,Tab_AG[[#This Row],[SitzeHO]]&amp;"/"&amp;Tab_Verfahren[[#This Row],[QK_Max]]*2-1,"")&amp;IF(Verfahren=VerfHN,Tab_AG[[#This Row],[SitzeHO]]&amp;"/"&amp;Tab_AG[[#Totals],[SitzeHO]]&amp;"*"&amp;Aussschussgröße&amp;"-"&amp;Tab_Verfahren[[#This Row],[QK_Min]],"")&amp;" = "&amp;TEXT(Tab_Verfahren[[#This Row],[AZ]],"0,000"),"")</f>
        <v/>
      </c>
      <c r="AL23" s="121">
        <f>_xlfn.RANK.EQ(Tab_Verfahren[[#This Row],[AZ]],Tab_Verfahren[AZ],0)</f>
        <v>10</v>
      </c>
      <c r="AM23" s="119" t="str">
        <f>IF(COUNTIFS(Tab_Verfahren[Rang],"&lt;="&amp;Tab_Verfahren[[#This Row],[Rang]])&lt;=Aussschussgröße-SUM(Tab_Verfahren[QK_Min]),"SITZ",IF(COUNTIFS(Tab_Verfahren[Rang],"&lt;"&amp;Tab_Verfahren[[#This Row],[Rang]])&lt;Aussschussgröße-SUM(Tab_Verfahren[QK_Min]),"PATT",""))</f>
        <v/>
      </c>
      <c r="AN23" s="118">
        <f>Tab_Verfahren[[#This Row],[QK_Min]]+IF(Tab_Verfahren[[#This Row],[Status]]="SITZ",1,0)</f>
        <v>0</v>
      </c>
      <c r="AO23" s="122">
        <f>IF(Tab_Verfahren[[#This Row],[Status]]&lt;&gt;"PATT",0,(Aussschussgröße-SUM(Tab_Verfahren[Sitze]))/COUNTIFS(Tab_Verfahren[Status],"PATT"))</f>
        <v>0</v>
      </c>
      <c r="AQ23" s="102" t="b">
        <f>OR(Tab_Verfahren[[#This Row],[LosCh]]=0,IFERROR(AND(ISNUMBER(Tab_Wahlergebnis[[#This Row],[Stimmen]]),Tab_Verschiebungen[[#This Row],[Plus]]+Tab_Verschiebungen[[#This Row],[Minus]]=0),FALSE))</f>
        <v>1</v>
      </c>
      <c r="AR23" s="102">
        <f>IF(AND(AND(Tabelle16[StimmenZul]),Tab_Verfahren[[#This Row],[LosCh]]&gt;0),Tab_Wahlergebnis[[#This Row],[Stimmen]],0)</f>
        <v>0</v>
      </c>
      <c r="AS23" s="102" t="b">
        <f>RANK(Tabelle16[[#This Row],[StimmenSitz]],Tabelle16[StimmenSitz],0)&lt;=Tab_Verfahren[[#Totals],[LosCh]]</f>
        <v>1</v>
      </c>
      <c r="AT23" s="106" t="str">
        <f>IF(Tab_Verfahren[[#This Row],[LosCh]]=0,"",IF(NOT(AND(Tabelle16[StimmenZul])),"UNZULÄSSIG",IF(Tabelle16[[#This Row],[StRang]],"SITZ ("&amp;Tabelle16[[#This Row],[StimmenSitz]]&amp;")","K. SITZ ("&amp;Tabelle16[[#This Row],[StimmenSitz]]&amp;")")))</f>
        <v/>
      </c>
      <c r="AU23" s="128">
        <f ca="1">RAND()*Tab_Verfahren[[#This Row],[LosCh]]</f>
        <v>0</v>
      </c>
      <c r="AV23" s="102" t="str">
        <f>IF(Tab_Verfahren[[#This Row],[LosCh]]=0,"",IF(_xlfn.RANK.EQ(Tabelle16[[#This Row],[Zufall]],Tabelle16[Zufall])&lt;=Tab_Verfahren[[#Totals],[LosCh]],"SITZ ("&amp;TEXT(Tabelle16[[#This Row],[Zufall]],",0000")&amp;")","NIETE ("&amp;TEXT(Tabelle16[[#This Row],[Zufall]],",0000")&amp;")"))</f>
        <v/>
      </c>
      <c r="AW23" s="131" t="str">
        <f>IF(Pattverfahren="Stimmen",Tabelle16[[#This Row],[Stimmenzahl]],IF(Pattverfahren="Verlosung",Tabelle16[[#This Row],[Verlosung]],""))</f>
        <v/>
      </c>
    </row>
    <row r="24" spans="2:59" s="96" customFormat="1" x14ac:dyDescent="0.25">
      <c r="F24" s="98"/>
      <c r="S24" t="s">
        <v>229</v>
      </c>
      <c r="T24" s="110"/>
      <c r="U24" s="173"/>
      <c r="V24" s="110"/>
      <c r="W24" s="110"/>
      <c r="X24" s="110"/>
      <c r="Y24" s="110"/>
      <c r="Z24" s="110"/>
      <c r="AA24" s="110"/>
      <c r="AB24" s="171">
        <f>SUBTOTAL(109,Tab_AG[SitzeHO])</f>
        <v>70</v>
      </c>
      <c r="AD24" s="110" t="s">
        <v>229</v>
      </c>
      <c r="AE24" s="110">
        <f>SUBTOTAL(109,Tab_Verfahren[QK_Min])</f>
        <v>8</v>
      </c>
      <c r="AF24" s="110"/>
      <c r="AG24" s="110"/>
      <c r="AH24" s="110"/>
      <c r="AI24" s="110"/>
      <c r="AJ24" s="110"/>
      <c r="AK24" s="110"/>
      <c r="AL24" s="110"/>
      <c r="AM24" s="110"/>
      <c r="AN24" s="171">
        <f>SUBTOTAL(109,Tab_Verfahren[Sitze])</f>
        <v>12</v>
      </c>
      <c r="AO24" s="172">
        <f>SUBTOTAL(109,Tab_Verfahren[LosCh])</f>
        <v>1</v>
      </c>
      <c r="AQ24" s="102" t="e">
        <f>OR(Tab_Verfahren[[#This Row],[LosCh]]=0,IFERROR(AND(ISNUMBER(Tab_Wahlergebnis[[#This Row],[Stimmen]]),Tab_Verschiebungen[[#This Row],[Plus]]+Tab_Verschiebungen[[#This Row],[Minus]]=0),FALSE))</f>
        <v>#VALUE!</v>
      </c>
      <c r="AR24" s="102" t="e">
        <f>IF(AND(AND(Tabelle16[StimmenZul]),Tab_Verfahren[[#This Row],[LosCh]]&gt;0),Tab_Wahlergebnis[[#This Row],[Stimmen]],0)</f>
        <v>#VALUE!</v>
      </c>
      <c r="AS24" s="102" t="e">
        <f>RANK(Tabelle16[[#This Row],[StimmenSitz]],Tabelle16[StimmenSitz],0)&lt;=Tab_Verfahren[[#Totals],[LosCh]]</f>
        <v>#VALUE!</v>
      </c>
      <c r="AT24" s="106" t="e">
        <f>IF(Tab_Verfahren[[#This Row],[LosCh]]=0,"",IF(NOT(AND(Tabelle16[StimmenZul])),"UNZULÄSSIG",IF(Tabelle16[[#This Row],[StRang]],"SITZ ("&amp;Tabelle16[[#This Row],[StimmenSitz]]&amp;")","K. SITZ ("&amp;Tabelle16[[#This Row],[StimmenSitz]]&amp;")")))</f>
        <v>#VALUE!</v>
      </c>
      <c r="AU24" s="128" t="e">
        <f ca="1">RAND()*Tab_Verfahren[[#This Row],[LosCh]]</f>
        <v>#VALUE!</v>
      </c>
      <c r="AV24" s="102" t="e">
        <f>IF(Tab_Verfahren[[#This Row],[LosCh]]=0,"",IF(_xlfn.RANK.EQ(Tabelle16[[#This Row],[Zufall]],Tabelle16[Zufall])&lt;=Tab_Verfahren[[#Totals],[LosCh]],"SITZ ("&amp;TEXT(Tabelle16[[#This Row],[Zufall]],",0000")&amp;")","NIETE ("&amp;TEXT(Tabelle16[[#This Row],[Zufall]],",0000")&amp;")"))</f>
        <v>#VALUE!</v>
      </c>
    </row>
    <row r="25" spans="2:59" s="96" customFormat="1" x14ac:dyDescent="0.25">
      <c r="F25" s="98"/>
      <c r="G25" s="99"/>
      <c r="H25" s="100"/>
      <c r="I25" s="99"/>
      <c r="J25" s="99"/>
    </row>
    <row r="26" spans="2:59" s="96" customFormat="1" x14ac:dyDescent="0.25">
      <c r="F26" s="98"/>
      <c r="G26" s="99"/>
      <c r="H26" s="100"/>
      <c r="I26" s="99"/>
      <c r="J26" s="99"/>
    </row>
    <row r="27" spans="2:59" s="96" customFormat="1" x14ac:dyDescent="0.25">
      <c r="F27" s="98"/>
      <c r="G27" s="99"/>
      <c r="H27" s="100"/>
      <c r="I27" s="99"/>
      <c r="J27" s="99"/>
      <c r="K27" s="99"/>
    </row>
    <row r="28" spans="2:59" s="96" customFormat="1" x14ac:dyDescent="0.25"/>
    <row r="29" spans="2:59" s="96" customFormat="1" x14ac:dyDescent="0.25"/>
    <row r="30" spans="2:59" s="96" customFormat="1" x14ac:dyDescent="0.25"/>
    <row r="31" spans="2:59" s="96" customFormat="1" x14ac:dyDescent="0.25"/>
    <row r="32" spans="2:59" s="96" customFormat="1" x14ac:dyDescent="0.25"/>
    <row r="33" s="96" customFormat="1" x14ac:dyDescent="0.25"/>
    <row r="34" s="96" customFormat="1" x14ac:dyDescent="0.25"/>
    <row r="35" s="96" customFormat="1" x14ac:dyDescent="0.25"/>
    <row r="36" s="96" customFormat="1" x14ac:dyDescent="0.25"/>
    <row r="37" s="96" customFormat="1" x14ac:dyDescent="0.25"/>
    <row r="38" s="96" customFormat="1" x14ac:dyDescent="0.25"/>
    <row r="39" s="96" customFormat="1" x14ac:dyDescent="0.25"/>
    <row r="40" s="96" customFormat="1" x14ac:dyDescent="0.25"/>
    <row r="41" s="96" customFormat="1" x14ac:dyDescent="0.25"/>
    <row r="42" s="96" customFormat="1" x14ac:dyDescent="0.25"/>
    <row r="43" s="96" customFormat="1" x14ac:dyDescent="0.25"/>
    <row r="44" s="96" customFormat="1" x14ac:dyDescent="0.25"/>
    <row r="45" s="96" customFormat="1" x14ac:dyDescent="0.25"/>
    <row r="46" s="96" customFormat="1" x14ac:dyDescent="0.25"/>
    <row r="47" s="96" customFormat="1" x14ac:dyDescent="0.25"/>
    <row r="48" s="96" customFormat="1" x14ac:dyDescent="0.25"/>
    <row r="49" s="96" customFormat="1" x14ac:dyDescent="0.25"/>
    <row r="50" s="96" customFormat="1" x14ac:dyDescent="0.25"/>
    <row r="51" s="96" customFormat="1" x14ac:dyDescent="0.25"/>
    <row r="52" s="96" customFormat="1" x14ac:dyDescent="0.25"/>
    <row r="53" s="96" customFormat="1" x14ac:dyDescent="0.25"/>
    <row r="54" s="96" customFormat="1" x14ac:dyDescent="0.25"/>
    <row r="55" s="96" customFormat="1" x14ac:dyDescent="0.25"/>
    <row r="56" s="96" customFormat="1" x14ac:dyDescent="0.25"/>
    <row r="57" s="96" customFormat="1" x14ac:dyDescent="0.25"/>
    <row r="58" s="96" customFormat="1" x14ac:dyDescent="0.25"/>
    <row r="59" s="96" customFormat="1" x14ac:dyDescent="0.25"/>
    <row r="60" s="96" customFormat="1" x14ac:dyDescent="0.25"/>
    <row r="61" s="96" customFormat="1" x14ac:dyDescent="0.25"/>
    <row r="62" s="96" customFormat="1" x14ac:dyDescent="0.25"/>
    <row r="63" s="96" customFormat="1" x14ac:dyDescent="0.25"/>
    <row r="64" s="96" customFormat="1" x14ac:dyDescent="0.25"/>
    <row r="65" s="96" customFormat="1" x14ac:dyDescent="0.25"/>
    <row r="66" s="96" customFormat="1" x14ac:dyDescent="0.25"/>
    <row r="67" s="96" customFormat="1" x14ac:dyDescent="0.25"/>
    <row r="68" s="96" customFormat="1" x14ac:dyDescent="0.25"/>
    <row r="69" s="96" customFormat="1" x14ac:dyDescent="0.25"/>
    <row r="70" s="96" customFormat="1" x14ac:dyDescent="0.25"/>
    <row r="71" s="96" customFormat="1" x14ac:dyDescent="0.25"/>
    <row r="72" s="96" customFormat="1" x14ac:dyDescent="0.25"/>
    <row r="73" s="96" customFormat="1" x14ac:dyDescent="0.25"/>
    <row r="74" s="96" customFormat="1" x14ac:dyDescent="0.25"/>
    <row r="75" s="96" customFormat="1" x14ac:dyDescent="0.25"/>
    <row r="76" s="96" customFormat="1" x14ac:dyDescent="0.25"/>
    <row r="77" s="96" customFormat="1" x14ac:dyDescent="0.25"/>
    <row r="78" s="96" customFormat="1" x14ac:dyDescent="0.25"/>
    <row r="79" s="96" customFormat="1" x14ac:dyDescent="0.25"/>
  </sheetData>
  <sheetProtection algorithmName="SHA-512" hashValue="d32uJmbmeYcMsaQ+UZ+krpQ3NgvvnCrmn4TR28mx0UF+dqzFpP346ai8aSU1oIyXekbJaM5pRvea5IRDVRdYPg==" saltValue="lbHU42osyc5m4tyUD4olrw==" spinCount="100000" sheet="1" objects="1" scenarios="1"/>
  <mergeCells count="12">
    <mergeCell ref="AD2:AO2"/>
    <mergeCell ref="AD4:AO4"/>
    <mergeCell ref="AD3:AO3"/>
    <mergeCell ref="B4:D4"/>
    <mergeCell ref="M4:Q4"/>
    <mergeCell ref="M2:Q2"/>
    <mergeCell ref="M3:Q3"/>
    <mergeCell ref="B2:D3"/>
    <mergeCell ref="S2:AB3"/>
    <mergeCell ref="S4:AB4"/>
    <mergeCell ref="F2:K3"/>
    <mergeCell ref="F4:K4"/>
  </mergeCells>
  <conditionalFormatting sqref="T7:T22">
    <cfRule type="expression" dxfId="74" priority="255">
      <formula>OR(NOT(ISLOGICAL(Q7)),Q7)</formula>
    </cfRule>
  </conditionalFormatting>
  <conditionalFormatting sqref="M7:M19 AN7:AN23">
    <cfRule type="dataBar" priority="18">
      <dataBar>
        <cfvo type="min"/>
        <cfvo type="max"/>
        <color rgb="FF00B050"/>
      </dataBar>
      <extLst>
        <ext xmlns:x14="http://schemas.microsoft.com/office/spreadsheetml/2009/9/main" uri="{B025F937-C7B1-47D3-B67F-A62EFF666E3E}">
          <x14:id>{E5E82384-B29A-4FDC-AF99-D8FFA25191B7}</x14:id>
        </ext>
      </extLst>
    </cfRule>
  </conditionalFormatting>
  <conditionalFormatting sqref="AD7:AM23">
    <cfRule type="expression" dxfId="73" priority="28">
      <formula>$AF7=0</formula>
    </cfRule>
  </conditionalFormatting>
  <conditionalFormatting sqref="AO7:AO23">
    <cfRule type="dataBar" priority="9">
      <dataBar>
        <cfvo type="min"/>
        <cfvo type="num" val="1"/>
        <color rgb="FFFFFF00"/>
      </dataBar>
      <extLst>
        <ext xmlns:x14="http://schemas.microsoft.com/office/spreadsheetml/2009/9/main" uri="{B025F937-C7B1-47D3-B67F-A62EFF666E3E}">
          <x14:id>{0A82A5AF-9EA8-41E9-BE69-3F2AC366461C}</x14:id>
        </ext>
      </extLst>
    </cfRule>
  </conditionalFormatting>
  <conditionalFormatting sqref="AW7:AW23">
    <cfRule type="expression" dxfId="72" priority="20">
      <formula>MID(AW7,1,4)="SITZ"</formula>
    </cfRule>
  </conditionalFormatting>
  <conditionalFormatting sqref="K7:K19 D7:D17 AB7:AB23">
    <cfRule type="dataBar" priority="8">
      <dataBar>
        <cfvo type="min"/>
        <cfvo type="max"/>
        <color theme="4" tint="0.39997558519241921"/>
      </dataBar>
      <extLst>
        <ext xmlns:x14="http://schemas.microsoft.com/office/spreadsheetml/2009/9/main" uri="{B025F937-C7B1-47D3-B67F-A62EFF666E3E}">
          <x14:id>{8AF8BF5A-D1B6-4CD6-A8EA-68CADAD7296E}</x14:id>
        </ext>
      </extLst>
    </cfRule>
  </conditionalFormatting>
  <conditionalFormatting sqref="T23">
    <cfRule type="expression" dxfId="71" priority="4">
      <formula>OR(NOT(ISLOGICAL(Q23)),Q23)</formula>
    </cfRule>
  </conditionalFormatting>
  <conditionalFormatting sqref="AK7:AK23">
    <cfRule type="expression" dxfId="70" priority="1">
      <formula>AM7="PATT"</formula>
    </cfRule>
    <cfRule type="expression" dxfId="69" priority="2">
      <formula>AM7="SITZ"</formula>
    </cfRule>
  </conditionalFormatting>
  <dataValidations count="3">
    <dataValidation type="list" allowBlank="1" showInputMessage="1" showErrorMessage="1" sqref="AD3">
      <formula1>INDIRECT("Data_Verfahren[Name]")</formula1>
    </dataValidation>
    <dataValidation type="list" allowBlank="1" showInputMessage="1" showErrorMessage="1" sqref="T7:T23 T25:T39">
      <formula1>OFFSET(INDIRECT("Tab_AG[[#Kopfzeilen];[Name_Hilf]]"),Tab_QKSIcher_Zeilen+1,0,Tab_AG_Zeilen-Tab_QKSIcher_Zeilen,1)</formula1>
    </dataValidation>
    <dataValidation type="list" allowBlank="1" showInputMessage="1" showErrorMessage="1" sqref="AW3">
      <formula1>"Stimmen,Verlosung"</formula1>
    </dataValidation>
  </dataValidations>
  <pageMargins left="0.7" right="0.7" top="0.78740157499999996" bottom="0.78740157499999996" header="0.3" footer="0.3"/>
  <pageSetup paperSize="9" orientation="portrait" r:id="rId1"/>
  <tableParts count="6">
    <tablePart r:id="rId2"/>
    <tablePart r:id="rId3"/>
    <tablePart r:id="rId4"/>
    <tablePart r:id="rId5"/>
    <tablePart r:id="rId6"/>
    <tablePart r:id="rId7"/>
  </tableParts>
  <extLst>
    <ext xmlns:x14="http://schemas.microsoft.com/office/spreadsheetml/2009/9/main" uri="{78C0D931-6437-407d-A8EE-F0AAD7539E65}">
      <x14:conditionalFormattings>
        <x14:conditionalFormatting xmlns:xm="http://schemas.microsoft.com/office/excel/2006/main">
          <x14:cfRule type="dataBar" id="{E5E82384-B29A-4FDC-AF99-D8FFA25191B7}">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M7:M19 AN7:AN23</xm:sqref>
        </x14:conditionalFormatting>
        <x14:conditionalFormatting xmlns:xm="http://schemas.microsoft.com/office/excel/2006/main">
          <x14:cfRule type="dataBar" id="{0A82A5AF-9EA8-41E9-BE69-3F2AC366461C}">
            <x14:dataBar minLength="0" maxLength="100" gradient="0">
              <x14:cfvo type="autoMin"/>
              <x14:cfvo type="num">
                <xm:f>1</xm:f>
              </x14:cfvo>
              <x14:negativeFillColor rgb="FFFF0000"/>
              <x14:axisColor rgb="FF000000"/>
            </x14:dataBar>
          </x14:cfRule>
          <xm:sqref>AO7:AO23</xm:sqref>
        </x14:conditionalFormatting>
        <x14:conditionalFormatting xmlns:xm="http://schemas.microsoft.com/office/excel/2006/main">
          <x14:cfRule type="dataBar" id="{8AF8BF5A-D1B6-4CD6-A8EA-68CADAD7296E}">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K7:K19 D7:D17 AB7:AB23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5"/>
  <sheetViews>
    <sheetView workbookViewId="0">
      <selection activeCell="C6" sqref="C6"/>
    </sheetView>
  </sheetViews>
  <sheetFormatPr baseColWidth="10" defaultRowHeight="15" x14ac:dyDescent="0.25"/>
  <cols>
    <col min="2" max="2" width="10.140625" bestFit="1" customWidth="1"/>
    <col min="3" max="3" width="15.85546875" bestFit="1" customWidth="1"/>
    <col min="4" max="4" width="63.85546875" bestFit="1" customWidth="1"/>
  </cols>
  <sheetData>
    <row r="2" spans="2:4" x14ac:dyDescent="0.25">
      <c r="B2" t="s">
        <v>160</v>
      </c>
      <c r="C2" t="s">
        <v>161</v>
      </c>
      <c r="D2" t="s">
        <v>162</v>
      </c>
    </row>
    <row r="3" spans="2:4" x14ac:dyDescent="0.25">
      <c r="B3" t="s">
        <v>163</v>
      </c>
      <c r="C3" s="87">
        <v>43853</v>
      </c>
      <c r="D3" t="s">
        <v>164</v>
      </c>
    </row>
    <row r="4" spans="2:4" x14ac:dyDescent="0.25">
      <c r="B4" t="s">
        <v>165</v>
      </c>
      <c r="C4" s="87">
        <v>43882</v>
      </c>
      <c r="D4" t="s">
        <v>166</v>
      </c>
    </row>
    <row r="5" spans="2:4" x14ac:dyDescent="0.25">
      <c r="B5" s="136" t="s">
        <v>230</v>
      </c>
      <c r="C5" s="87">
        <v>45203</v>
      </c>
      <c r="D5" t="s">
        <v>231</v>
      </c>
    </row>
  </sheetData>
  <pageMargins left="0.7" right="0.7" top="0.78740157499999996" bottom="0.78740157499999996"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D7"/>
  <sheetViews>
    <sheetView workbookViewId="0"/>
  </sheetViews>
  <sheetFormatPr baseColWidth="10" defaultRowHeight="15" x14ac:dyDescent="0.25"/>
  <cols>
    <col min="3" max="3" width="20.28515625" bestFit="1" customWidth="1"/>
    <col min="4" max="4" width="79.7109375" bestFit="1" customWidth="1"/>
  </cols>
  <sheetData>
    <row r="4" spans="3:4" x14ac:dyDescent="0.25">
      <c r="C4" t="s">
        <v>179</v>
      </c>
      <c r="D4" t="s">
        <v>196</v>
      </c>
    </row>
    <row r="5" spans="3:4" x14ac:dyDescent="0.25">
      <c r="C5" t="s">
        <v>52</v>
      </c>
      <c r="D5" t="s">
        <v>198</v>
      </c>
    </row>
    <row r="6" spans="3:4" x14ac:dyDescent="0.25">
      <c r="C6" t="s">
        <v>51</v>
      </c>
      <c r="D6" t="s">
        <v>199</v>
      </c>
    </row>
    <row r="7" spans="3:4" x14ac:dyDescent="0.25">
      <c r="C7" t="s">
        <v>197</v>
      </c>
      <c r="D7" t="s">
        <v>200</v>
      </c>
    </row>
  </sheetData>
  <pageMargins left="0.7" right="0.7" top="0.78740157499999996" bottom="0.78740157499999996"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N19"/>
  <sheetViews>
    <sheetView workbookViewId="0"/>
  </sheetViews>
  <sheetFormatPr baseColWidth="10" defaultRowHeight="15" x14ac:dyDescent="0.25"/>
  <cols>
    <col min="2" max="2" width="15.140625" bestFit="1" customWidth="1"/>
  </cols>
  <sheetData>
    <row r="4" spans="2:14" x14ac:dyDescent="0.25">
      <c r="B4" t="s">
        <v>128</v>
      </c>
      <c r="C4" t="s">
        <v>129</v>
      </c>
      <c r="D4" t="s">
        <v>130</v>
      </c>
      <c r="E4" t="s">
        <v>131</v>
      </c>
      <c r="F4" t="s">
        <v>132</v>
      </c>
      <c r="G4" t="s">
        <v>133</v>
      </c>
      <c r="H4" t="s">
        <v>134</v>
      </c>
      <c r="I4" t="s">
        <v>135</v>
      </c>
      <c r="J4" t="s">
        <v>136</v>
      </c>
      <c r="K4" t="s">
        <v>137</v>
      </c>
      <c r="L4" t="s">
        <v>138</v>
      </c>
      <c r="M4" t="s">
        <v>139</v>
      </c>
      <c r="N4" t="s">
        <v>140</v>
      </c>
    </row>
    <row r="5" spans="2:14" x14ac:dyDescent="0.25">
      <c r="B5" t="s">
        <v>7</v>
      </c>
      <c r="C5">
        <v>16</v>
      </c>
      <c r="D5">
        <v>11</v>
      </c>
      <c r="E5">
        <v>8</v>
      </c>
      <c r="F5">
        <v>8</v>
      </c>
      <c r="G5">
        <v>8</v>
      </c>
      <c r="H5">
        <v>8</v>
      </c>
      <c r="I5">
        <v>12</v>
      </c>
      <c r="J5">
        <v>6</v>
      </c>
      <c r="K5">
        <v>14</v>
      </c>
      <c r="L5">
        <v>12</v>
      </c>
      <c r="M5">
        <v>12</v>
      </c>
      <c r="N5">
        <v>10</v>
      </c>
    </row>
    <row r="6" spans="2:14" x14ac:dyDescent="0.25">
      <c r="B6" t="s">
        <v>1</v>
      </c>
      <c r="C6">
        <v>18</v>
      </c>
      <c r="D6">
        <v>20</v>
      </c>
      <c r="E6">
        <v>14</v>
      </c>
      <c r="F6">
        <v>12</v>
      </c>
      <c r="G6">
        <v>9</v>
      </c>
      <c r="H6">
        <v>17</v>
      </c>
      <c r="I6">
        <v>34</v>
      </c>
      <c r="J6">
        <v>8</v>
      </c>
      <c r="K6">
        <v>15</v>
      </c>
      <c r="L6">
        <v>26</v>
      </c>
      <c r="M6">
        <v>27</v>
      </c>
      <c r="N6">
        <v>17</v>
      </c>
    </row>
    <row r="7" spans="2:14" x14ac:dyDescent="0.25">
      <c r="B7" t="s">
        <v>2</v>
      </c>
      <c r="C7">
        <v>10</v>
      </c>
      <c r="D7">
        <v>10</v>
      </c>
      <c r="E7">
        <v>3</v>
      </c>
      <c r="F7">
        <v>6</v>
      </c>
      <c r="G7">
        <v>9</v>
      </c>
      <c r="H7">
        <v>11</v>
      </c>
      <c r="I7">
        <v>16</v>
      </c>
      <c r="J7">
        <v>3</v>
      </c>
      <c r="K7">
        <v>4</v>
      </c>
      <c r="L7">
        <v>18</v>
      </c>
      <c r="M7">
        <v>19</v>
      </c>
      <c r="N7">
        <v>10</v>
      </c>
    </row>
    <row r="8" spans="2:14" x14ac:dyDescent="0.25">
      <c r="B8" t="s">
        <v>141</v>
      </c>
      <c r="C8">
        <v>4</v>
      </c>
      <c r="D8">
        <v>5</v>
      </c>
      <c r="E8">
        <v>4</v>
      </c>
      <c r="F8">
        <v>3</v>
      </c>
      <c r="G8">
        <v>3</v>
      </c>
      <c r="H8">
        <v>2</v>
      </c>
      <c r="I8">
        <v>6</v>
      </c>
      <c r="J8">
        <v>1</v>
      </c>
      <c r="K8">
        <v>4</v>
      </c>
      <c r="L8">
        <v>10</v>
      </c>
      <c r="M8">
        <v>3</v>
      </c>
      <c r="N8">
        <v>8</v>
      </c>
    </row>
    <row r="9" spans="2:14" x14ac:dyDescent="0.25">
      <c r="B9" t="s">
        <v>3</v>
      </c>
      <c r="C9">
        <v>5</v>
      </c>
      <c r="D9">
        <v>0</v>
      </c>
      <c r="E9">
        <v>2</v>
      </c>
      <c r="F9">
        <v>2</v>
      </c>
      <c r="G9">
        <v>2</v>
      </c>
      <c r="H9">
        <v>7</v>
      </c>
      <c r="I9">
        <v>2</v>
      </c>
      <c r="J9">
        <v>1</v>
      </c>
      <c r="K9">
        <v>4</v>
      </c>
      <c r="L9">
        <v>8</v>
      </c>
      <c r="M9">
        <v>8</v>
      </c>
      <c r="N9">
        <v>4</v>
      </c>
    </row>
    <row r="10" spans="2:14" x14ac:dyDescent="0.25">
      <c r="B10" t="s">
        <v>4</v>
      </c>
      <c r="C10">
        <v>5</v>
      </c>
      <c r="D10">
        <v>5</v>
      </c>
      <c r="E10">
        <v>1</v>
      </c>
      <c r="F10">
        <v>1</v>
      </c>
      <c r="G10">
        <v>1</v>
      </c>
      <c r="H10">
        <v>1</v>
      </c>
      <c r="I10">
        <v>1</v>
      </c>
      <c r="J10">
        <v>3</v>
      </c>
      <c r="K10">
        <v>4</v>
      </c>
      <c r="L10">
        <v>7</v>
      </c>
      <c r="M10">
        <v>3</v>
      </c>
      <c r="N10">
        <v>1</v>
      </c>
    </row>
    <row r="11" spans="2:14" x14ac:dyDescent="0.25">
      <c r="B11" t="s">
        <v>5</v>
      </c>
      <c r="C11">
        <v>3</v>
      </c>
      <c r="D11">
        <v>3</v>
      </c>
      <c r="E11">
        <v>0</v>
      </c>
      <c r="F11">
        <v>0</v>
      </c>
      <c r="G11">
        <v>0</v>
      </c>
      <c r="H11">
        <v>2</v>
      </c>
      <c r="I11">
        <v>1</v>
      </c>
      <c r="J11">
        <v>0</v>
      </c>
      <c r="K11">
        <v>2</v>
      </c>
      <c r="L11">
        <v>5</v>
      </c>
      <c r="M11">
        <v>0</v>
      </c>
      <c r="N11">
        <v>0</v>
      </c>
    </row>
    <row r="12" spans="2:14" x14ac:dyDescent="0.25">
      <c r="B12" t="s">
        <v>142</v>
      </c>
      <c r="C12">
        <v>5</v>
      </c>
      <c r="D12">
        <v>4</v>
      </c>
      <c r="E12">
        <v>0</v>
      </c>
      <c r="F12">
        <v>0</v>
      </c>
      <c r="G12">
        <v>0</v>
      </c>
      <c r="H12">
        <v>0</v>
      </c>
      <c r="I12">
        <v>0</v>
      </c>
      <c r="J12">
        <v>0</v>
      </c>
      <c r="K12">
        <v>2</v>
      </c>
      <c r="L12">
        <v>3</v>
      </c>
      <c r="M12">
        <v>0</v>
      </c>
      <c r="N12">
        <v>0</v>
      </c>
    </row>
    <row r="13" spans="2:14" x14ac:dyDescent="0.25">
      <c r="B13" t="s">
        <v>143</v>
      </c>
      <c r="C13">
        <v>2</v>
      </c>
      <c r="D13">
        <v>3</v>
      </c>
      <c r="E13">
        <v>0</v>
      </c>
      <c r="F13">
        <v>0</v>
      </c>
      <c r="G13">
        <v>0</v>
      </c>
      <c r="H13">
        <v>0</v>
      </c>
      <c r="I13">
        <v>0</v>
      </c>
      <c r="J13">
        <v>0</v>
      </c>
      <c r="K13">
        <v>2</v>
      </c>
      <c r="L13">
        <v>2</v>
      </c>
      <c r="M13">
        <v>0</v>
      </c>
      <c r="N13">
        <v>0</v>
      </c>
    </row>
    <row r="14" spans="2:14" x14ac:dyDescent="0.25">
      <c r="B14" t="s">
        <v>144</v>
      </c>
      <c r="C14">
        <v>2</v>
      </c>
      <c r="D14">
        <v>0</v>
      </c>
      <c r="E14">
        <v>0</v>
      </c>
      <c r="F14">
        <v>0</v>
      </c>
      <c r="G14">
        <v>0</v>
      </c>
      <c r="H14">
        <v>0</v>
      </c>
      <c r="I14">
        <v>0</v>
      </c>
      <c r="J14">
        <v>0</v>
      </c>
      <c r="K14">
        <v>2</v>
      </c>
      <c r="L14">
        <v>2</v>
      </c>
      <c r="M14">
        <v>0</v>
      </c>
      <c r="N14">
        <v>0</v>
      </c>
    </row>
    <row r="15" spans="2:14" x14ac:dyDescent="0.25">
      <c r="B15" t="s">
        <v>145</v>
      </c>
      <c r="C15">
        <v>6</v>
      </c>
      <c r="D15">
        <v>0</v>
      </c>
      <c r="E15">
        <v>0</v>
      </c>
      <c r="F15">
        <v>0</v>
      </c>
      <c r="G15">
        <v>0</v>
      </c>
      <c r="H15">
        <v>0</v>
      </c>
      <c r="I15">
        <v>0</v>
      </c>
      <c r="J15">
        <v>0</v>
      </c>
      <c r="K15">
        <v>1</v>
      </c>
      <c r="L15">
        <v>1</v>
      </c>
      <c r="M15">
        <v>0</v>
      </c>
      <c r="N15">
        <v>0</v>
      </c>
    </row>
    <row r="16" spans="2:14" x14ac:dyDescent="0.25">
      <c r="B16" t="s">
        <v>146</v>
      </c>
      <c r="C16">
        <v>0</v>
      </c>
      <c r="D16">
        <v>0</v>
      </c>
      <c r="E16">
        <v>0</v>
      </c>
      <c r="F16">
        <v>0</v>
      </c>
      <c r="G16">
        <v>0</v>
      </c>
      <c r="H16">
        <v>0</v>
      </c>
      <c r="I16">
        <v>0</v>
      </c>
      <c r="J16">
        <v>0</v>
      </c>
      <c r="K16">
        <v>0</v>
      </c>
      <c r="L16">
        <v>0</v>
      </c>
      <c r="M16">
        <v>0</v>
      </c>
      <c r="N16">
        <v>0</v>
      </c>
    </row>
    <row r="17" spans="2:14" x14ac:dyDescent="0.25">
      <c r="B17" t="s">
        <v>147</v>
      </c>
      <c r="C17">
        <v>0</v>
      </c>
      <c r="D17">
        <v>0</v>
      </c>
      <c r="E17">
        <v>0</v>
      </c>
      <c r="F17">
        <v>0</v>
      </c>
      <c r="G17">
        <v>0</v>
      </c>
      <c r="H17">
        <v>0</v>
      </c>
      <c r="I17">
        <v>0</v>
      </c>
      <c r="J17">
        <v>0</v>
      </c>
      <c r="K17">
        <v>0</v>
      </c>
      <c r="L17">
        <v>0</v>
      </c>
      <c r="M17">
        <v>0</v>
      </c>
      <c r="N17">
        <v>0</v>
      </c>
    </row>
    <row r="18" spans="2:14" x14ac:dyDescent="0.25">
      <c r="B18" t="s">
        <v>148</v>
      </c>
      <c r="C18">
        <v>0</v>
      </c>
      <c r="D18">
        <v>0</v>
      </c>
      <c r="E18">
        <v>0</v>
      </c>
      <c r="F18">
        <v>0</v>
      </c>
      <c r="G18">
        <v>0</v>
      </c>
      <c r="H18">
        <v>0</v>
      </c>
      <c r="I18">
        <v>0</v>
      </c>
      <c r="J18">
        <v>0</v>
      </c>
      <c r="K18">
        <v>0</v>
      </c>
      <c r="L18">
        <v>0</v>
      </c>
      <c r="M18">
        <v>0</v>
      </c>
      <c r="N18">
        <v>0</v>
      </c>
    </row>
    <row r="19" spans="2:14" x14ac:dyDescent="0.25">
      <c r="B19" t="s">
        <v>149</v>
      </c>
      <c r="C19" t="s">
        <v>150</v>
      </c>
      <c r="D19" t="s">
        <v>150</v>
      </c>
      <c r="E19" t="s">
        <v>150</v>
      </c>
      <c r="F19" t="s">
        <v>150</v>
      </c>
      <c r="G19" t="s">
        <v>150</v>
      </c>
      <c r="H19" t="s">
        <v>150</v>
      </c>
      <c r="I19" t="s">
        <v>150</v>
      </c>
      <c r="J19" t="s">
        <v>150</v>
      </c>
      <c r="K19" t="s">
        <v>150</v>
      </c>
      <c r="L19" t="s">
        <v>150</v>
      </c>
      <c r="M19" t="s">
        <v>150</v>
      </c>
      <c r="N19" t="s">
        <v>150</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25</vt:i4>
      </vt:variant>
    </vt:vector>
  </HeadingPairs>
  <TitlesOfParts>
    <vt:vector size="35" baseType="lpstr">
      <vt:lpstr>Lizenz</vt:lpstr>
      <vt:lpstr>Werbeblock</vt:lpstr>
      <vt:lpstr>Bedienung</vt:lpstr>
      <vt:lpstr>Ausschusskalkulator_ohneAG</vt:lpstr>
      <vt:lpstr>Ausschusskalkulator_mitAG</vt:lpstr>
      <vt:lpstr>Ausschusskalkulator_Prototyp</vt:lpstr>
      <vt:lpstr>Versionen</vt:lpstr>
      <vt:lpstr>Tabelle5</vt:lpstr>
      <vt:lpstr>Tabelle1</vt:lpstr>
      <vt:lpstr>Tabelle3</vt:lpstr>
      <vt:lpstr>Aussschussgröße</vt:lpstr>
      <vt:lpstr>Hilf_Parteien</vt:lpstr>
      <vt:lpstr>Ausschusskalkulator_mitAG!Pattaufloesung</vt:lpstr>
      <vt:lpstr>Pattaufloesung</vt:lpstr>
      <vt:lpstr>Pattverfahren</vt:lpstr>
      <vt:lpstr>Ausschusskalkulator_mitAG!Sitze_Ausschuss</vt:lpstr>
      <vt:lpstr>Sitze_Ausschuss</vt:lpstr>
      <vt:lpstr>Ausschusskalkulator_mitAG!Sitze_Hauptorgan</vt:lpstr>
      <vt:lpstr>Sitze_Hauptorgan</vt:lpstr>
      <vt:lpstr>Ausschusskalkulator_mitAG!SLS_Los</vt:lpstr>
      <vt:lpstr>SLS_Los</vt:lpstr>
      <vt:lpstr>Ausschusskalkulator_mitAG!SLS_Patt</vt:lpstr>
      <vt:lpstr>SLS_Patt</vt:lpstr>
      <vt:lpstr>Ausschusskalkulator_mitAG!SLS_RelStimmen</vt:lpstr>
      <vt:lpstr>SLS_RelStimmen</vt:lpstr>
      <vt:lpstr>Ausschusskalkulator_mitAG!SLS_Sitze</vt:lpstr>
      <vt:lpstr>SLS_Sitze</vt:lpstr>
      <vt:lpstr>Ausschusskalkulator_mitAG!SLS_SitzPatt</vt:lpstr>
      <vt:lpstr>SLS_SitzPatt</vt:lpstr>
      <vt:lpstr>Ausschusskalkulator_mitAG!SLS_Stimmen</vt:lpstr>
      <vt:lpstr>SLS_Stimmen</vt:lpstr>
      <vt:lpstr>Verfahren</vt:lpstr>
      <vt:lpstr>VerfdH</vt:lpstr>
      <vt:lpstr>VerfHN</vt:lpstr>
      <vt:lpstr>VerfSLS</vt:lpstr>
    </vt:vector>
  </TitlesOfParts>
  <Company>FHVR Hof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Friedrich, Jan</dc:creator>
  <cp:lastModifiedBy>Friedrich, Jan</cp:lastModifiedBy>
  <dcterms:created xsi:type="dcterms:W3CDTF">2019-07-22T06:32:39Z</dcterms:created>
  <dcterms:modified xsi:type="dcterms:W3CDTF">2023-10-04T19:28:24Z</dcterms:modified>
</cp:coreProperties>
</file>